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1770" yWindow="105" windowWidth="14805" windowHeight="8010" tabRatio="784"/>
  </bookViews>
  <sheets>
    <sheet name="납세현황_24년 3분기" sheetId="1" r:id="rId1"/>
    <sheet name="특별징수" sheetId="10" state="hidden" r:id="rId2"/>
    <sheet name="주민세(사업소분,22년)" sheetId="12" state="hidden" r:id="rId3"/>
    <sheet name="재산세(22년)" sheetId="13" state="hidden" r:id="rId4"/>
    <sheet name="종합부동산세(22)" sheetId="14" state="hidden" r:id="rId5"/>
  </sheets>
  <definedNames>
    <definedName name="_xlnm.Print_Area" localSheetId="1">특별징수!$A$1:$Q$45</definedName>
  </definedNames>
  <calcPr calcId="162913"/>
</workbook>
</file>

<file path=xl/calcChain.xml><?xml version="1.0" encoding="utf-8"?>
<calcChain xmlns="http://schemas.openxmlformats.org/spreadsheetml/2006/main">
  <c r="E50" i="10" l="1"/>
  <c r="P7" i="10"/>
  <c r="P10" i="10" l="1"/>
  <c r="O11" i="10"/>
  <c r="O44" i="10" s="1"/>
  <c r="P43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P35" i="10"/>
  <c r="P36" i="10"/>
  <c r="P37" i="10"/>
  <c r="P38" i="10"/>
  <c r="P39" i="10"/>
  <c r="P40" i="10"/>
  <c r="P41" i="10"/>
  <c r="P42" i="10"/>
  <c r="E69" i="14" l="1"/>
  <c r="D69" i="14"/>
  <c r="C69" i="14"/>
  <c r="D64" i="14"/>
  <c r="C64" i="14"/>
  <c r="E64" i="14" s="1"/>
  <c r="D63" i="14"/>
  <c r="D65" i="14" s="1"/>
  <c r="E52" i="14" s="1"/>
  <c r="C63" i="14"/>
  <c r="E63" i="14" s="1"/>
  <c r="C26" i="14"/>
  <c r="C25" i="14"/>
  <c r="C24" i="14"/>
  <c r="G20" i="14"/>
  <c r="H15" i="14"/>
  <c r="H9" i="14"/>
  <c r="H14" i="14" s="1"/>
  <c r="E13" i="14" s="1"/>
  <c r="E6" i="14" s="1"/>
  <c r="D13" i="14" s="1"/>
  <c r="C13" i="14" s="1"/>
  <c r="D6" i="14"/>
  <c r="D15" i="14" s="1"/>
  <c r="C6" i="14"/>
  <c r="C15" i="14" s="1"/>
  <c r="F5" i="14"/>
  <c r="J5" i="14" s="1"/>
  <c r="E5" i="14"/>
  <c r="D5" i="14"/>
  <c r="C5" i="14"/>
  <c r="H11" i="14" l="1"/>
  <c r="F13" i="14"/>
  <c r="C59" i="14"/>
  <c r="E59" i="14" s="1"/>
  <c r="E15" i="14"/>
  <c r="E9" i="14"/>
  <c r="D70" i="14"/>
  <c r="C56" i="14" s="1"/>
  <c r="E56" i="14" s="1"/>
  <c r="H12" i="14"/>
  <c r="H16" i="14" s="1"/>
  <c r="C9" i="14"/>
  <c r="F6" i="14"/>
  <c r="D9" i="14"/>
  <c r="C65" i="14"/>
  <c r="C70" i="14" s="1"/>
  <c r="C49" i="14" s="1"/>
  <c r="E49" i="14" s="1"/>
  <c r="H17" i="14" l="1"/>
  <c r="H18" i="14"/>
  <c r="D29" i="14" s="1"/>
  <c r="E45" i="14"/>
  <c r="E65" i="14"/>
  <c r="E70" i="14" s="1"/>
  <c r="E11" i="14"/>
  <c r="E14" i="14"/>
  <c r="E12" i="14" s="1"/>
  <c r="D11" i="14"/>
  <c r="D14" i="14"/>
  <c r="D12" i="14" s="1"/>
  <c r="F15" i="14"/>
  <c r="F9" i="14"/>
  <c r="J6" i="14"/>
  <c r="C14" i="14"/>
  <c r="C12" i="14" s="1"/>
  <c r="C11" i="14"/>
  <c r="M11" i="10"/>
  <c r="M44" i="10" s="1"/>
  <c r="M83" i="10"/>
  <c r="E16" i="14" l="1"/>
  <c r="F11" i="14"/>
  <c r="J9" i="14"/>
  <c r="F14" i="14"/>
  <c r="F12" i="14" s="1"/>
  <c r="J12" i="14" s="1"/>
  <c r="D16" i="14"/>
  <c r="F29" i="14"/>
  <c r="E29" i="14"/>
  <c r="C16" i="14"/>
  <c r="N11" i="10"/>
  <c r="N44" i="10" s="1"/>
  <c r="D17" i="14" l="1"/>
  <c r="D18" i="14"/>
  <c r="D25" i="14" s="1"/>
  <c r="C17" i="14"/>
  <c r="C18" i="14" s="1"/>
  <c r="J11" i="14"/>
  <c r="F16" i="14"/>
  <c r="E17" i="14"/>
  <c r="E18" i="14"/>
  <c r="D26" i="14" s="1"/>
  <c r="P12" i="10"/>
  <c r="D24" i="14" l="1"/>
  <c r="F19" i="14"/>
  <c r="F25" i="14"/>
  <c r="C53" i="14" s="1"/>
  <c r="E25" i="14"/>
  <c r="C46" i="14" s="1"/>
  <c r="F26" i="14"/>
  <c r="C54" i="14" s="1"/>
  <c r="E26" i="14"/>
  <c r="C47" i="14" s="1"/>
  <c r="F17" i="14"/>
  <c r="J16" i="14"/>
  <c r="F18" i="14"/>
  <c r="F20" i="14" l="1"/>
  <c r="D31" i="14"/>
  <c r="J17" i="14"/>
  <c r="C38" i="14" s="1"/>
  <c r="C37" i="14"/>
  <c r="F24" i="14"/>
  <c r="E24" i="14"/>
  <c r="D27" i="14"/>
  <c r="J18" i="14" l="1"/>
  <c r="C39" i="14" s="1"/>
  <c r="F27" i="14"/>
  <c r="C52" i="14"/>
  <c r="C55" i="14" s="1"/>
  <c r="E37" i="14"/>
  <c r="D37" i="14"/>
  <c r="E27" i="14"/>
  <c r="C45" i="14"/>
  <c r="C48" i="14" s="1"/>
  <c r="E38" i="14"/>
  <c r="D38" i="14"/>
  <c r="F31" i="14"/>
  <c r="F32" i="14" s="1"/>
  <c r="E31" i="14"/>
  <c r="E32" i="14" s="1"/>
  <c r="D32" i="14"/>
  <c r="K11" i="10"/>
  <c r="K44" i="10" s="1"/>
  <c r="L11" i="10"/>
  <c r="L44" i="10" s="1"/>
  <c r="I11" i="10"/>
  <c r="I44" i="10" s="1"/>
  <c r="J11" i="10"/>
  <c r="J44" i="10" s="1"/>
  <c r="E39" i="14" l="1"/>
  <c r="D39" i="14" s="1"/>
  <c r="D1" i="13" l="1"/>
  <c r="I94" i="13"/>
  <c r="I134" i="13"/>
  <c r="E131" i="13" l="1"/>
  <c r="E126" i="13"/>
  <c r="E132" i="13" s="1"/>
  <c r="G117" i="13" l="1"/>
  <c r="G116" i="13"/>
  <c r="F115" i="13"/>
  <c r="G115" i="13" s="1"/>
  <c r="E115" i="13"/>
  <c r="G114" i="13"/>
  <c r="G113" i="13"/>
  <c r="G112" i="13"/>
  <c r="G111" i="13"/>
  <c r="F110" i="13"/>
  <c r="F118" i="13" s="1"/>
  <c r="E110" i="13"/>
  <c r="E118" i="13" s="1"/>
  <c r="G109" i="13"/>
  <c r="G108" i="13"/>
  <c r="G107" i="13"/>
  <c r="G106" i="13"/>
  <c r="G105" i="13"/>
  <c r="G104" i="13"/>
  <c r="G103" i="13"/>
  <c r="G102" i="13"/>
  <c r="G101" i="13"/>
  <c r="G100" i="13"/>
  <c r="G99" i="13"/>
  <c r="G110" i="13" s="1"/>
  <c r="G118" i="13" s="1"/>
  <c r="I3" i="13" l="1"/>
  <c r="D8" i="13"/>
  <c r="D11" i="13" s="1"/>
  <c r="D9" i="13"/>
  <c r="D10" i="13"/>
  <c r="D16" i="13"/>
  <c r="D19" i="13" s="1"/>
  <c r="D17" i="13"/>
  <c r="D18" i="13"/>
  <c r="D24" i="13"/>
  <c r="D27" i="13" s="1"/>
  <c r="D25" i="13"/>
  <c r="D26" i="13"/>
  <c r="D32" i="13"/>
  <c r="D35" i="13" s="1"/>
  <c r="D33" i="13"/>
  <c r="D34" i="13"/>
  <c r="D40" i="13"/>
  <c r="D41" i="13"/>
  <c r="D42" i="13"/>
  <c r="D43" i="13"/>
  <c r="D48" i="13"/>
  <c r="D51" i="13" s="1"/>
  <c r="D49" i="13"/>
  <c r="D50" i="13"/>
  <c r="D56" i="13"/>
  <c r="D59" i="13" s="1"/>
  <c r="D57" i="13"/>
  <c r="D58" i="13"/>
  <c r="D64" i="13"/>
  <c r="D67" i="13" s="1"/>
  <c r="D65" i="13"/>
  <c r="D66" i="13"/>
  <c r="D72" i="13"/>
  <c r="D73" i="13"/>
  <c r="D74" i="13"/>
  <c r="D75" i="13"/>
  <c r="D76" i="13"/>
  <c r="D80" i="13"/>
  <c r="D83" i="13" s="1"/>
  <c r="D81" i="13"/>
  <c r="D82" i="13"/>
  <c r="D20" i="13" l="1"/>
  <c r="D44" i="13"/>
  <c r="D60" i="13"/>
  <c r="D36" i="13"/>
  <c r="D52" i="13"/>
  <c r="D12" i="13"/>
  <c r="D68" i="13"/>
  <c r="D28" i="13"/>
  <c r="D84" i="13"/>
  <c r="D90" i="13"/>
  <c r="D89" i="13"/>
  <c r="D88" i="13"/>
  <c r="D92" i="13" l="1"/>
  <c r="D91" i="13"/>
  <c r="D28" i="12" l="1"/>
  <c r="D29" i="12"/>
  <c r="H11" i="10" l="1"/>
  <c r="H44" i="10" s="1"/>
  <c r="G11" i="10"/>
  <c r="G44" i="10" s="1"/>
  <c r="P80" i="10" l="1"/>
  <c r="P81" i="10"/>
  <c r="P9" i="10"/>
  <c r="P63" i="10" l="1"/>
  <c r="E83" i="10" l="1"/>
  <c r="F83" i="10"/>
  <c r="G83" i="10"/>
  <c r="H83" i="10"/>
  <c r="I83" i="10"/>
  <c r="J83" i="10"/>
  <c r="K83" i="10"/>
  <c r="L83" i="10"/>
  <c r="N83" i="10"/>
  <c r="O83" i="10"/>
  <c r="D83" i="10"/>
  <c r="P82" i="10" l="1"/>
  <c r="P79" i="10"/>
  <c r="P58" i="10"/>
  <c r="P57" i="10"/>
  <c r="P56" i="10"/>
  <c r="P55" i="10"/>
  <c r="P54" i="10"/>
  <c r="P78" i="10"/>
  <c r="P77" i="10"/>
  <c r="P76" i="10"/>
  <c r="P75" i="10"/>
  <c r="P74" i="10"/>
  <c r="P73" i="10"/>
  <c r="P72" i="10"/>
  <c r="P71" i="10"/>
  <c r="P70" i="10"/>
  <c r="P69" i="10"/>
  <c r="P64" i="10"/>
  <c r="P68" i="10"/>
  <c r="P67" i="10"/>
  <c r="P66" i="10"/>
  <c r="P65" i="10"/>
  <c r="P62" i="10"/>
  <c r="P61" i="10"/>
  <c r="P60" i="10"/>
  <c r="P59" i="10"/>
  <c r="P53" i="10"/>
  <c r="P52" i="10"/>
  <c r="P51" i="10"/>
  <c r="P50" i="10"/>
  <c r="F11" i="10"/>
  <c r="F44" i="10" s="1"/>
  <c r="E11" i="10"/>
  <c r="E44" i="10" s="1"/>
  <c r="D11" i="10"/>
  <c r="D44" i="10" s="1"/>
  <c r="P8" i="10"/>
  <c r="P6" i="10"/>
  <c r="P5" i="10"/>
  <c r="P11" i="10" s="1"/>
  <c r="P44" i="10" s="1"/>
  <c r="P45" i="10" l="1"/>
  <c r="P83" i="10"/>
  <c r="P84" i="10" s="1"/>
</calcChain>
</file>

<file path=xl/comments1.xml><?xml version="1.0" encoding="utf-8"?>
<comments xmlns="http://schemas.openxmlformats.org/spreadsheetml/2006/main">
  <authors>
    <author>만든 이</author>
  </authors>
  <commentList>
    <comment ref="D3" authorId="0" shapeId="0">
      <text>
        <r>
          <rPr>
            <b/>
            <sz val="11"/>
            <color indexed="81"/>
            <rFont val="돋움"/>
            <family val="3"/>
            <charset val="129"/>
          </rPr>
          <t>신고서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가감조정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납부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환급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액</t>
        </r>
        <r>
          <rPr>
            <b/>
            <sz val="11"/>
            <color indexed="81"/>
            <rFont val="Tahoma"/>
            <family val="2"/>
          </rPr>
          <t xml:space="preserve"> </t>
        </r>
      </text>
    </comment>
    <comment ref="D48" authorId="0" shapeId="0">
      <text>
        <r>
          <rPr>
            <b/>
            <sz val="12"/>
            <color indexed="81"/>
            <rFont val="돋움"/>
            <family val="3"/>
            <charset val="129"/>
          </rPr>
          <t>신고서</t>
        </r>
        <r>
          <rPr>
            <b/>
            <sz val="12"/>
            <color indexed="81"/>
            <rFont val="Tahoma"/>
            <family val="2"/>
          </rPr>
          <t xml:space="preserve"> : A99</t>
        </r>
      </text>
    </comment>
  </commentList>
</comments>
</file>

<file path=xl/comments2.xml><?xml version="1.0" encoding="utf-8"?>
<comments xmlns="http://schemas.openxmlformats.org/spreadsheetml/2006/main">
  <authors>
    <author>만든 이</author>
  </authors>
  <commentList>
    <comment ref="D40" authorId="0" shapeId="0">
      <text>
        <r>
          <rPr>
            <b/>
            <sz val="9"/>
            <color indexed="81"/>
            <rFont val="돋움"/>
            <family val="3"/>
            <charset val="129"/>
          </rPr>
          <t>기금대출지원센터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콜센터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<sst xmlns="http://schemas.openxmlformats.org/spreadsheetml/2006/main" count="988" uniqueCount="544">
  <si>
    <t>연도</t>
  </si>
  <si>
    <t>과세표준</t>
  </si>
  <si>
    <t>산출세액</t>
  </si>
  <si>
    <t>1. 법인세 납부현황</t>
    <phoneticPr fontId="6" type="Hiragana"/>
  </si>
  <si>
    <t>가산세</t>
    <phoneticPr fontId="11" type="noConversion"/>
  </si>
  <si>
    <t>납부세액</t>
    <phoneticPr fontId="6" type="Hiragana"/>
  </si>
  <si>
    <t>2. 부가가치세 납부현황</t>
    <phoneticPr fontId="6" type="Hiragana"/>
  </si>
  <si>
    <t>과세기간</t>
    <phoneticPr fontId="6" type="Hiragana"/>
  </si>
  <si>
    <t>매출세액</t>
    <phoneticPr fontId="6" type="Hiragana"/>
  </si>
  <si>
    <t>매입세액</t>
    <phoneticPr fontId="6" type="Hiragana"/>
  </si>
  <si>
    <t>3. 지방세 납부현황</t>
    <phoneticPr fontId="6" type="Hiragana"/>
  </si>
  <si>
    <t>구분</t>
    <phoneticPr fontId="6" type="Hiragana"/>
  </si>
  <si>
    <t>주민세 종업원분</t>
    <phoneticPr fontId="6" type="Hiragana"/>
  </si>
  <si>
    <t>지방소득세 특별징수분</t>
    <phoneticPr fontId="6" type="Hiragana"/>
  </si>
  <si>
    <t>비고</t>
    <phoneticPr fontId="6" type="Hiragana"/>
  </si>
  <si>
    <t>4. 종합부동산세 납부현황</t>
    <phoneticPr fontId="6" type="Hiragana"/>
  </si>
  <si>
    <t>종합부동산세</t>
    <phoneticPr fontId="6" type="Hiragana"/>
  </si>
  <si>
    <t>구  분</t>
  </si>
  <si>
    <t>본점</t>
  </si>
  <si>
    <t>서울북부지사</t>
  </si>
  <si>
    <t>서울서부지사</t>
  </si>
  <si>
    <t>서울동부지사</t>
  </si>
  <si>
    <t>서울남부지사</t>
  </si>
  <si>
    <t>부산울산지사</t>
  </si>
  <si>
    <t>대구경북지사</t>
  </si>
  <si>
    <t>광주전남지사</t>
  </si>
  <si>
    <t>전북지사</t>
  </si>
  <si>
    <t>경남지사</t>
  </si>
  <si>
    <t>강원지사</t>
  </si>
  <si>
    <t>충북지사</t>
  </si>
  <si>
    <t>제주출장소</t>
  </si>
  <si>
    <t>서울북부관리센터</t>
  </si>
  <si>
    <t>서울서부관리센터</t>
  </si>
  <si>
    <t>영남관리센터</t>
  </si>
  <si>
    <t>중부관리센터</t>
  </si>
  <si>
    <t>서울동부관리센터</t>
  </si>
  <si>
    <t>합  계</t>
  </si>
  <si>
    <t>대전충남지사</t>
  </si>
  <si>
    <t>합계</t>
    <phoneticPr fontId="6" type="Hiragana"/>
  </si>
  <si>
    <t>동부주택도시금융센터</t>
  </si>
  <si>
    <t>서부주택도시금융센터</t>
  </si>
  <si>
    <t>남부주택도시금융1센터</t>
  </si>
  <si>
    <t>남부주택도시금융2센터</t>
  </si>
  <si>
    <t>중부주택도시금융센터</t>
  </si>
  <si>
    <t>남부PF금융센터</t>
  </si>
  <si>
    <t>동부PF금융센터</t>
  </si>
  <si>
    <t>서부PF금융센터</t>
  </si>
  <si>
    <t>총부담세액</t>
    <phoneticPr fontId="6" type="Hiragana"/>
  </si>
  <si>
    <t>1월 귀속</t>
    <phoneticPr fontId="8" type="noConversion"/>
  </si>
  <si>
    <t>2월 귀속</t>
    <phoneticPr fontId="8" type="noConversion"/>
  </si>
  <si>
    <t>3월 귀속</t>
  </si>
  <si>
    <t>4월 귀속</t>
  </si>
  <si>
    <t>5월 귀속</t>
  </si>
  <si>
    <t>6월 귀속</t>
  </si>
  <si>
    <t>7월 귀속</t>
  </si>
  <si>
    <t>8월 귀속</t>
  </si>
  <si>
    <t>9월 귀속</t>
  </si>
  <si>
    <t>10월 귀속</t>
  </si>
  <si>
    <t>11월 귀속</t>
  </si>
  <si>
    <t>12월 귀속</t>
  </si>
  <si>
    <t>소득세 원천징수</t>
    <phoneticPr fontId="6" type="Hiragana"/>
  </si>
  <si>
    <t>본점 합계</t>
    <phoneticPr fontId="8" type="noConversion"/>
  </si>
  <si>
    <t>원천소득세(신고서)</t>
    <phoneticPr fontId="8" type="noConversion"/>
  </si>
  <si>
    <t>영업점 기타소득고려 필요</t>
    <phoneticPr fontId="8" type="noConversion"/>
  </si>
  <si>
    <t>세액공제</t>
    <phoneticPr fontId="6" type="Hiragana"/>
  </si>
  <si>
    <t>임대리츠자산관리센터</t>
  </si>
  <si>
    <t>스마트금융센터</t>
  </si>
  <si>
    <t>인천지사</t>
  </si>
  <si>
    <t>가산세</t>
    <phoneticPr fontId="6" type="Hiragana"/>
  </si>
  <si>
    <t xml:space="preserve">법인지방소득세* </t>
    <phoneticPr fontId="6" type="Hiragana"/>
  </si>
  <si>
    <t>주민세사업소분</t>
    <phoneticPr fontId="6" type="Hiragana"/>
  </si>
  <si>
    <t>재산세(건축물,주택,토지 등)</t>
    <phoneticPr fontId="6" type="Hiragana"/>
  </si>
  <si>
    <t>구분</t>
  </si>
  <si>
    <t>세목</t>
  </si>
  <si>
    <t>납세자명</t>
  </si>
  <si>
    <t>과세물건</t>
  </si>
  <si>
    <t>납부세액</t>
  </si>
  <si>
    <t>납세번호</t>
  </si>
  <si>
    <t>납부일자</t>
  </si>
  <si>
    <t>관할지</t>
  </si>
  <si>
    <t>전자납부번호</t>
  </si>
  <si>
    <t>신고분</t>
  </si>
  <si>
    <t>주민세(사업소분)</t>
  </si>
  <si>
    <t>주택도시보증공사</t>
  </si>
  <si>
    <t>2022년 주민세 사업소분(부산광역시 남구 문현금융로 40 (문현동, 국제금융센터),주택도시보증공사)</t>
  </si>
  <si>
    <t>26290-3-40-104102-202208-3-690-010416-4</t>
  </si>
  <si>
    <t>2022.08.30</t>
  </si>
  <si>
    <t>부산광역시 남구</t>
  </si>
  <si>
    <t>2629013022505990370</t>
  </si>
  <si>
    <t>2022년도 주민세 사업소분(인천광역시 남동구 백범로 357(간석동,한국교직원공제회 인천회관 14층),주택도시보증공사 인천지사)</t>
  </si>
  <si>
    <t>28200-6-40-104102-202208-3-540-038021-6</t>
  </si>
  <si>
    <t>2022.08.29</t>
  </si>
  <si>
    <t>인천광역시 남동구</t>
  </si>
  <si>
    <t>2820013022912263642</t>
  </si>
  <si>
    <t>2022년 주민세 사업소분(경기도 의정부시 평화로 489, 전기공사공제조합 (의정부동),주택도시보증공사 경기북부지사)</t>
  </si>
  <si>
    <t>41150-5-40-104102-202208-3-510-024152-8</t>
  </si>
  <si>
    <t>2022.08.25</t>
  </si>
  <si>
    <t>경기도 의정부시</t>
  </si>
  <si>
    <t>4115013022208416486</t>
  </si>
  <si>
    <t>2022년 주민세 사업소분(전라북도 전주시 완산구 온고을로 1, 대한교원공제회관 3층 (서신동),주택도시보증공사 전북지사)</t>
  </si>
  <si>
    <t>45111-2-40-104102-202208-3-680-007920-1</t>
  </si>
  <si>
    <t>2022.08.23</t>
  </si>
  <si>
    <t>전라북도 전주시 완산구</t>
  </si>
  <si>
    <t>4511113022110728966</t>
  </si>
  <si>
    <t>2022년 주민세 사업소분(광주광역시 서구 상무중앙로 58, 13층 (치평동),주택도시보증공사 남부주택도시금융2센터)</t>
  </si>
  <si>
    <t>29140-8-40-104102-202208-3-745-007525-1</t>
  </si>
  <si>
    <t>광주광역시 서구</t>
  </si>
  <si>
    <t>2914013022007175186</t>
  </si>
  <si>
    <t>2022년도 주민세 사업소분(경기도 수원시 팔달구 권광로 178, 1동 701, 901호(인계동,한국교직원공제회 경기회관),주택도시보증공사 경기남</t>
  </si>
  <si>
    <t>41115-2-40-104102-202208-3-730-014256-4</t>
  </si>
  <si>
    <t>2022.08.18</t>
  </si>
  <si>
    <t>경기도 수원시 팔달구</t>
  </si>
  <si>
    <t>4111513022526302136</t>
  </si>
  <si>
    <t>2022년 주민세 사업소분(대전광역시 서구 둔산북로 56, 10,11층 (둔산동), 주택도시보증공사 대전충남지사/중부관리센터)</t>
  </si>
  <si>
    <t>30170-9-40-104102-202208-3-640-021365-5</t>
  </si>
  <si>
    <t>대전광역시 서구</t>
  </si>
  <si>
    <t>3017013022108899027</t>
  </si>
  <si>
    <t>2022년도 주민세 사업소분(부산광역시 동구 중앙대로 240, 14층동(초량동,현대해상부산사옥),주택도시보증공사 부산울산지사)</t>
  </si>
  <si>
    <t>26170-0-40-104102-202208-3-530-008387-9</t>
  </si>
  <si>
    <t>부산광역시 동구</t>
  </si>
  <si>
    <t>2617013022005314752</t>
  </si>
  <si>
    <t>2022년 주민세 사업소분(창원시 성산구 상남로 25, 대한주택보증(주)경남지사 (상남동,1층),주택도시보증공사 경남지사)</t>
  </si>
  <si>
    <t>48123-4-40-104102-202208-3-520-005532-4</t>
  </si>
  <si>
    <t>2022.08.17</t>
  </si>
  <si>
    <t>경상남도 창원시 성산구</t>
  </si>
  <si>
    <t>4812313022123515162</t>
  </si>
  <si>
    <t>2022년도 주민세 사업소분(충청북도 청주시 흥덕구 강서로 107, 1203호(강서동,BYC빌딩),주택도시보증공사 충북지사)</t>
  </si>
  <si>
    <t>43113-2-40-104102-202208-3-760-018447-2</t>
  </si>
  <si>
    <t>2022.08.16</t>
  </si>
  <si>
    <t>충청북도 청주시 흥덕구</t>
  </si>
  <si>
    <t>4311313022318937047</t>
  </si>
  <si>
    <t>2022년 주민세 사업소분(부산광역시 부산진구 중앙대로 658, 7층 (부전동, 교보생명빌딩),주택도시보증공사 영남관리센터)</t>
  </si>
  <si>
    <t>26230-1-40-104102-202208-3-520-004976-5</t>
  </si>
  <si>
    <t>부산광역시 부산진구</t>
  </si>
  <si>
    <t>2623013022706879810</t>
  </si>
  <si>
    <t>2022년 주민세 사업소분(대전광역시 서구 둔산중로 8 (탄방동, 한국교직원공제회대전회관) 18층,주택도시보증공사 중부주택도시금융센터)</t>
  </si>
  <si>
    <t>30170-9-40-104102-202208-3-555-005093-3</t>
  </si>
  <si>
    <t>2022.08.12</t>
  </si>
  <si>
    <t>3017013022108735588</t>
  </si>
  <si>
    <t>2022년 주민세 사업소분(제주특별자치도 제주시 은남길 8 (연동),주택도시보증공사 광주전남지사 제주출장소)</t>
  </si>
  <si>
    <t>50110-1-40-104102-202208-3-650-030106-1</t>
  </si>
  <si>
    <t>2022.08.11</t>
  </si>
  <si>
    <t>제주특별자치도 제주시</t>
  </si>
  <si>
    <t>5011013022112052343</t>
  </si>
  <si>
    <t>2022년 주민세 사업소분(광주광역시 서구 시청로 26(치평동, 빛고을고객센터),주택도시보증공사 광주전남지사)</t>
  </si>
  <si>
    <t>29140-8-40-104102-202208-3-745-005840-5</t>
  </si>
  <si>
    <t>2914013022007158310</t>
  </si>
  <si>
    <t>2022년도주민세사업소분(주택도시보증공사남부피에프금융센터/남부주택도시금융1센터)</t>
  </si>
  <si>
    <t>26170-0-40-104102-202208-3-530-008394-4</t>
  </si>
  <si>
    <t>2617013022005319337</t>
  </si>
  <si>
    <t>2022년 주민세 사업소분(강원도 원주시 북원로 2135, 3층 (무실동, 농협은행원주시지부),주택도시보증공사 강원지사)</t>
  </si>
  <si>
    <t>42130-4-40-104102-202208-3-660-019533-0</t>
  </si>
  <si>
    <t>2022.08.10</t>
  </si>
  <si>
    <t>강원도 원주시</t>
  </si>
  <si>
    <t>4213013022406899441</t>
  </si>
  <si>
    <t>2022년 주민세 사업소분(대구광역시 수성구 동대구로 334 (범어동),주택도시보증공사 대구경북지사)</t>
  </si>
  <si>
    <t>27260-5-40-104102-202208-3-520-001751-4</t>
  </si>
  <si>
    <t>대구광역시 수성구</t>
  </si>
  <si>
    <t>2726013022907991491</t>
  </si>
  <si>
    <t>영등포구</t>
    <phoneticPr fontId="8" type="noConversion"/>
  </si>
  <si>
    <t>강남구</t>
    <phoneticPr fontId="8" type="noConversion"/>
  </si>
  <si>
    <t>중구</t>
    <phoneticPr fontId="8" type="noConversion"/>
  </si>
  <si>
    <t>종로구</t>
    <phoneticPr fontId="8" type="noConversion"/>
  </si>
  <si>
    <t>서초구</t>
    <phoneticPr fontId="8" type="noConversion"/>
  </si>
  <si>
    <t>연번</t>
    <phoneticPr fontId="8" type="noConversion"/>
  </si>
  <si>
    <t>건물명</t>
    <phoneticPr fontId="11" type="noConversion"/>
  </si>
  <si>
    <t>사용 부서</t>
    <phoneticPr fontId="11" type="noConversion"/>
  </si>
  <si>
    <t>BIFC</t>
    <phoneticPr fontId="11" type="noConversion"/>
  </si>
  <si>
    <t>본사</t>
    <phoneticPr fontId="11" type="noConversion"/>
  </si>
  <si>
    <t>KED빌딩</t>
    <phoneticPr fontId="11" type="noConversion"/>
  </si>
  <si>
    <t>IFRS17 관련 인력</t>
    <phoneticPr fontId="11" type="noConversion"/>
  </si>
  <si>
    <t>삼환까뮤 빌딩(태흥빌딩)</t>
    <phoneticPr fontId="11" type="noConversion"/>
  </si>
  <si>
    <t>본사 일부</t>
    <phoneticPr fontId="11" type="noConversion"/>
  </si>
  <si>
    <t>서울서부지사</t>
    <phoneticPr fontId="11" type="noConversion"/>
  </si>
  <si>
    <t>동부주택도시금융센터</t>
    <phoneticPr fontId="11" type="noConversion"/>
  </si>
  <si>
    <t>서부주택도시금융센터</t>
    <phoneticPr fontId="11" type="noConversion"/>
  </si>
  <si>
    <t>임대리츠자산관리센터</t>
    <phoneticPr fontId="11" type="noConversion"/>
  </si>
  <si>
    <t>도시재생리츠자산관리센터</t>
    <phoneticPr fontId="11" type="noConversion"/>
  </si>
  <si>
    <t>스마트금융센터</t>
    <phoneticPr fontId="11" type="noConversion"/>
  </si>
  <si>
    <t>흥국생명</t>
    <phoneticPr fontId="11" type="noConversion"/>
  </si>
  <si>
    <t>남부PF금융센터</t>
    <phoneticPr fontId="11" type="noConversion"/>
  </si>
  <si>
    <t>남부주택도시금융1센터</t>
    <phoneticPr fontId="11" type="noConversion"/>
  </si>
  <si>
    <t>한화생명둔산사옥</t>
    <phoneticPr fontId="11" type="noConversion"/>
  </si>
  <si>
    <t>중부관리센터</t>
    <phoneticPr fontId="11" type="noConversion"/>
  </si>
  <si>
    <t>대전충남지사</t>
    <phoneticPr fontId="11" type="noConversion"/>
  </si>
  <si>
    <t>서린동 영풍빌딩</t>
    <phoneticPr fontId="11" type="noConversion"/>
  </si>
  <si>
    <t>서울북부지사</t>
    <phoneticPr fontId="11" type="noConversion"/>
  </si>
  <si>
    <t>동부PF금융센터</t>
    <phoneticPr fontId="11" type="noConversion"/>
  </si>
  <si>
    <t>서부PF금융센터</t>
    <phoneticPr fontId="11" type="noConversion"/>
  </si>
  <si>
    <t>동훈타워</t>
    <phoneticPr fontId="11" type="noConversion"/>
  </si>
  <si>
    <t>서울동부지사</t>
    <phoneticPr fontId="11" type="noConversion"/>
  </si>
  <si>
    <t>오퓨런스빌딩</t>
    <phoneticPr fontId="11" type="noConversion"/>
  </si>
  <si>
    <t>서울남부지사</t>
    <phoneticPr fontId="11" type="noConversion"/>
  </si>
  <si>
    <t>간석동 교직원공제회관</t>
    <phoneticPr fontId="11" type="noConversion"/>
  </si>
  <si>
    <t>인천지사</t>
    <phoneticPr fontId="11" type="noConversion"/>
  </si>
  <si>
    <t>평화로 489</t>
    <phoneticPr fontId="11" type="noConversion"/>
  </si>
  <si>
    <t>경기북부지사</t>
    <phoneticPr fontId="11" type="noConversion"/>
  </si>
  <si>
    <t>인계동 교직원공제회관</t>
    <phoneticPr fontId="11" type="noConversion"/>
  </si>
  <si>
    <t>경기남부지사</t>
    <phoneticPr fontId="11" type="noConversion"/>
  </si>
  <si>
    <t>초량동 현대해상</t>
    <phoneticPr fontId="11" type="noConversion"/>
  </si>
  <si>
    <t>부산울산지사</t>
    <phoneticPr fontId="11" type="noConversion"/>
  </si>
  <si>
    <t>범어동 교직원공제회관</t>
    <phoneticPr fontId="11" type="noConversion"/>
  </si>
  <si>
    <t>대구경북지사</t>
    <phoneticPr fontId="11" type="noConversion"/>
  </si>
  <si>
    <t>광주빛고을센터</t>
    <phoneticPr fontId="11" type="noConversion"/>
  </si>
  <si>
    <t>광주전남지사</t>
    <phoneticPr fontId="11" type="noConversion"/>
  </si>
  <si>
    <t>농협은행원주시지부</t>
    <phoneticPr fontId="11" type="noConversion"/>
  </si>
  <si>
    <t>강원지사</t>
    <phoneticPr fontId="11" type="noConversion"/>
  </si>
  <si>
    <t>강서동 BYC</t>
    <phoneticPr fontId="11" type="noConversion"/>
  </si>
  <si>
    <t>충북지사</t>
    <phoneticPr fontId="11" type="noConversion"/>
  </si>
  <si>
    <t>서신동 교직원공제회</t>
    <phoneticPr fontId="11" type="noConversion"/>
  </si>
  <si>
    <t>전북지사</t>
    <phoneticPr fontId="11" type="noConversion"/>
  </si>
  <si>
    <t>상남동 한국산업은행</t>
    <phoneticPr fontId="11" type="noConversion"/>
  </si>
  <si>
    <t>경남지사</t>
    <phoneticPr fontId="11" type="noConversion"/>
  </si>
  <si>
    <t>연동 삼성화재빌딩</t>
    <phoneticPr fontId="11" type="noConversion"/>
  </si>
  <si>
    <t>제주출장소</t>
    <phoneticPr fontId="11" type="noConversion"/>
  </si>
  <si>
    <t>T타워</t>
    <phoneticPr fontId="11" type="noConversion"/>
  </si>
  <si>
    <t>서울북부관리센터</t>
    <phoneticPr fontId="11" type="noConversion"/>
  </si>
  <si>
    <t>역삼아이타워</t>
    <phoneticPr fontId="11" type="noConversion"/>
  </si>
  <si>
    <t>서울동부관리센터</t>
    <phoneticPr fontId="11" type="noConversion"/>
  </si>
  <si>
    <t>여의도동 전경련회관</t>
    <phoneticPr fontId="11" type="noConversion"/>
  </si>
  <si>
    <t>서울서부관리센터</t>
    <phoneticPr fontId="11" type="noConversion"/>
  </si>
  <si>
    <t>부전동 교보생명빌딩</t>
    <phoneticPr fontId="11" type="noConversion"/>
  </si>
  <si>
    <t>영남관리센터</t>
    <phoneticPr fontId="11" type="noConversion"/>
  </si>
  <si>
    <t>치평동 타임스타워</t>
    <phoneticPr fontId="11" type="noConversion"/>
  </si>
  <si>
    <t>남부주택도시금융2센터</t>
    <phoneticPr fontId="11" type="noConversion"/>
  </si>
  <si>
    <t>탄방동 교직원공제회</t>
    <phoneticPr fontId="11" type="noConversion"/>
  </si>
  <si>
    <t>중부주택도시금융센터</t>
    <phoneticPr fontId="11" type="noConversion"/>
  </si>
  <si>
    <t>위택스 납부내역</t>
    <phoneticPr fontId="8" type="noConversion"/>
  </si>
  <si>
    <r>
      <t>1. 보육시설(</t>
    </r>
    <r>
      <rPr>
        <b/>
        <sz val="11"/>
        <color rgb="FFFF0000"/>
        <rFont val="맑은 고딕"/>
        <family val="3"/>
        <charset val="129"/>
        <scheme val="minor"/>
      </rPr>
      <t>지분율 11.0%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1" type="noConversion"/>
  </si>
  <si>
    <t>구 분</t>
  </si>
  <si>
    <t>과세표준액</t>
  </si>
  <si>
    <t>세 액</t>
  </si>
  <si>
    <t>재 산 세</t>
  </si>
  <si>
    <t>도시지역분</t>
  </si>
  <si>
    <t xml:space="preserve">  </t>
  </si>
  <si>
    <t>지역자원시설세</t>
  </si>
  <si>
    <t>지방교육세</t>
  </si>
  <si>
    <t>합 계</t>
  </si>
  <si>
    <r>
      <t>2. 공동식당(</t>
    </r>
    <r>
      <rPr>
        <b/>
        <sz val="11"/>
        <color rgb="FFFF0000"/>
        <rFont val="맑은 고딕"/>
        <family val="3"/>
        <charset val="129"/>
        <scheme val="minor"/>
      </rPr>
      <t>지분율 14.92%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1" type="noConversion"/>
  </si>
  <si>
    <t>3. 6층 사무실</t>
    <phoneticPr fontId="11" type="noConversion"/>
  </si>
  <si>
    <t>4. 10층 사무실</t>
    <phoneticPr fontId="11" type="noConversion"/>
  </si>
  <si>
    <t>5. 11층 사무실</t>
    <phoneticPr fontId="11" type="noConversion"/>
  </si>
  <si>
    <t>6. 15층 사무실</t>
    <phoneticPr fontId="11" type="noConversion"/>
  </si>
  <si>
    <t>7. 16층 사무실</t>
    <phoneticPr fontId="11" type="noConversion"/>
  </si>
  <si>
    <t>8. 17층 사무실</t>
    <phoneticPr fontId="11" type="noConversion"/>
  </si>
  <si>
    <t>9. 18층 사무실</t>
    <phoneticPr fontId="11" type="noConversion"/>
  </si>
  <si>
    <t>10. 19층 사무실</t>
    <phoneticPr fontId="11" type="noConversion"/>
  </si>
  <si>
    <t>재산세 합 계</t>
    <phoneticPr fontId="11" type="noConversion"/>
  </si>
  <si>
    <t>구분</t>
    <phoneticPr fontId="8" type="noConversion"/>
  </si>
  <si>
    <t xml:space="preserve">과세표준액 </t>
    <phoneticPr fontId="8" type="noConversion"/>
  </si>
  <si>
    <t>세액</t>
    <phoneticPr fontId="8" type="noConversion"/>
  </si>
  <si>
    <t>재산세(별도)</t>
    <phoneticPr fontId="8" type="noConversion"/>
  </si>
  <si>
    <t>도시지역분</t>
    <phoneticPr fontId="8" type="noConversion"/>
  </si>
  <si>
    <t>지방교육세</t>
    <phoneticPr fontId="8" type="noConversion"/>
  </si>
  <si>
    <t>합게</t>
    <phoneticPr fontId="8" type="noConversion"/>
  </si>
  <si>
    <t>1. BIFC 사옥</t>
    <phoneticPr fontId="8" type="noConversion"/>
  </si>
  <si>
    <t>부산사옥 합계</t>
    <phoneticPr fontId="8" type="noConversion"/>
  </si>
  <si>
    <t>2022년도 재산세(건물분) 과세내역</t>
    <phoneticPr fontId="8" type="noConversion"/>
  </si>
  <si>
    <t>2. 직원숙소</t>
    <phoneticPr fontId="8" type="noConversion"/>
  </si>
  <si>
    <t>ㅁ 7월분 재산세 내역</t>
    <phoneticPr fontId="11" type="noConversion"/>
  </si>
  <si>
    <t>(단위 : 원)</t>
    <phoneticPr fontId="11" type="noConversion"/>
  </si>
  <si>
    <t>납부처</t>
    <phoneticPr fontId="11" type="noConversion"/>
  </si>
  <si>
    <t>구분</t>
    <phoneticPr fontId="11" type="noConversion"/>
  </si>
  <si>
    <t>동호수</t>
    <phoneticPr fontId="11" type="noConversion"/>
  </si>
  <si>
    <t>납기전</t>
    <phoneticPr fontId="11" type="noConversion"/>
  </si>
  <si>
    <t>납기후</t>
    <phoneticPr fontId="11" type="noConversion"/>
  </si>
  <si>
    <t>기산금</t>
    <phoneticPr fontId="11" type="noConversion"/>
  </si>
  <si>
    <t>납부계좌</t>
    <phoneticPr fontId="11" type="noConversion"/>
  </si>
  <si>
    <t>납부방식</t>
    <phoneticPr fontId="11" type="noConversion"/>
  </si>
  <si>
    <t>부산광역시
동구청</t>
    <phoneticPr fontId="11" type="noConversion"/>
  </si>
  <si>
    <t>동일타워</t>
    <phoneticPr fontId="11" type="noConversion"/>
  </si>
  <si>
    <t>부산은행 131-94-681714-1</t>
    <phoneticPr fontId="11" type="noConversion"/>
  </si>
  <si>
    <t>일괄납부</t>
    <phoneticPr fontId="11" type="noConversion"/>
  </si>
  <si>
    <t>동일타워 소계</t>
    <phoneticPr fontId="11" type="noConversion"/>
  </si>
  <si>
    <t>부산광역시
남구청</t>
    <phoneticPr fontId="11" type="noConversion"/>
  </si>
  <si>
    <t>힐스테이트푸르지오</t>
    <phoneticPr fontId="11" type="noConversion"/>
  </si>
  <si>
    <t>부산은행 129-94-900353-2</t>
    <phoneticPr fontId="11" type="noConversion"/>
  </si>
  <si>
    <t>개별납부</t>
    <phoneticPr fontId="11" type="noConversion"/>
  </si>
  <si>
    <t>부산은행 129-94-942124-1</t>
    <phoneticPr fontId="11" type="noConversion"/>
  </si>
  <si>
    <t>부산은행 129-94-942134-7</t>
    <phoneticPr fontId="11" type="noConversion"/>
  </si>
  <si>
    <t>부산은행 129-94-940943-6</t>
    <phoneticPr fontId="11" type="noConversion"/>
  </si>
  <si>
    <t>힐스테이트푸르지오 소계</t>
    <phoneticPr fontId="11" type="noConversion"/>
  </si>
  <si>
    <t>부산광역시
연제구청</t>
    <phoneticPr fontId="11" type="noConversion"/>
  </si>
  <si>
    <t>허그하우스(일괄)</t>
    <phoneticPr fontId="11" type="noConversion"/>
  </si>
  <si>
    <t>43개호</t>
    <phoneticPr fontId="11" type="noConversion"/>
  </si>
  <si>
    <t>부산은행 131-94-676006-8</t>
    <phoneticPr fontId="11" type="noConversion"/>
  </si>
  <si>
    <t>부산광역시
부산진구청</t>
    <phoneticPr fontId="11" type="noConversion"/>
  </si>
  <si>
    <t>천일, 몽뜨레, 데시앙(일괄)</t>
    <phoneticPr fontId="11" type="noConversion"/>
  </si>
  <si>
    <t>67개호</t>
    <phoneticPr fontId="11" type="noConversion"/>
  </si>
  <si>
    <t>부산은행 131-94-679129-4</t>
    <phoneticPr fontId="11" type="noConversion"/>
  </si>
  <si>
    <t>총계</t>
    <phoneticPr fontId="11" type="noConversion"/>
  </si>
  <si>
    <t>기산금은 직원이 공사 모계좌(544301-95-200154) 입금예정</t>
    <phoneticPr fontId="11" type="noConversion"/>
  </si>
  <si>
    <t>금액</t>
    <phoneticPr fontId="11" type="noConversion"/>
  </si>
  <si>
    <t>부산 135-94-253306-4</t>
    <phoneticPr fontId="11" type="noConversion"/>
  </si>
  <si>
    <t>부산 135-94-253358-2</t>
    <phoneticPr fontId="11" type="noConversion"/>
  </si>
  <si>
    <t>부산 135-94-253349-4</t>
    <phoneticPr fontId="11" type="noConversion"/>
  </si>
  <si>
    <t>남구청 소계</t>
    <phoneticPr fontId="11" type="noConversion"/>
  </si>
  <si>
    <t>3개호</t>
    <phoneticPr fontId="11" type="noConversion"/>
  </si>
  <si>
    <t>* 506호는 경영지원처 사무실 재산세 납부 시 납부 완료</t>
    <phoneticPr fontId="11" type="noConversion"/>
  </si>
  <si>
    <t>동일타워(일괄)</t>
    <phoneticPr fontId="11" type="noConversion"/>
  </si>
  <si>
    <t>11개호</t>
    <phoneticPr fontId="11" type="noConversion"/>
  </si>
  <si>
    <t>부산 135-94-441901-4</t>
    <phoneticPr fontId="11" type="noConversion"/>
  </si>
  <si>
    <t>부산 133-94-667174-8</t>
    <phoneticPr fontId="11" type="noConversion"/>
  </si>
  <si>
    <t>천일, 몽뜨레(일괄)</t>
    <phoneticPr fontId="11" type="noConversion"/>
  </si>
  <si>
    <t>51개호</t>
    <phoneticPr fontId="11" type="noConversion"/>
  </si>
  <si>
    <t>부산 135-94-458260-4</t>
    <phoneticPr fontId="11" type="noConversion"/>
  </si>
  <si>
    <t>데시앙(일괄)</t>
    <phoneticPr fontId="11" type="noConversion"/>
  </si>
  <si>
    <t>16개호</t>
    <phoneticPr fontId="11" type="noConversion"/>
  </si>
  <si>
    <t>부산 133-94-989724-0</t>
    <phoneticPr fontId="11" type="noConversion"/>
  </si>
  <si>
    <t>일괄납부</t>
  </si>
  <si>
    <t>부산진구청 소계</t>
    <phoneticPr fontId="11" type="noConversion"/>
  </si>
  <si>
    <t>ㅁ 2022년 9월분 재산세 내역</t>
    <phoneticPr fontId="11" type="noConversion"/>
  </si>
  <si>
    <t>직원숙소 합계</t>
    <phoneticPr fontId="8" type="noConversion"/>
  </si>
  <si>
    <t>총합계</t>
    <phoneticPr fontId="8" type="noConversion"/>
  </si>
  <si>
    <t>※ 제계정 기입장</t>
    <phoneticPr fontId="8" type="noConversion"/>
  </si>
  <si>
    <t>2022-01-01 ~ 2022-10-19</t>
  </si>
  <si>
    <t>본 지 점 :</t>
  </si>
  <si>
    <t>0110</t>
  </si>
  <si>
    <t>계정과목 :</t>
  </si>
  <si>
    <t>사　　업　：　세　　금　　공　　과　　금</t>
  </si>
  <si>
    <t>회계일자</t>
  </si>
  <si>
    <t>상  대  계  정</t>
  </si>
  <si>
    <t>차     변</t>
  </si>
  <si>
    <t>대      변</t>
  </si>
  <si>
    <t>흑적</t>
  </si>
  <si>
    <t>잔     액</t>
  </si>
  <si>
    <t>적                   요</t>
  </si>
  <si>
    <t>전표번호</t>
  </si>
  <si>
    <t>비고</t>
  </si>
  <si>
    <t>대상금액</t>
  </si>
  <si>
    <t>기간</t>
  </si>
  <si>
    <t>요율</t>
  </si>
  <si>
    <t>시작일</t>
  </si>
  <si>
    <t>종료일</t>
  </si>
  <si>
    <t>요　　구　　불　　　예　　금</t>
  </si>
  <si>
    <t>흑</t>
  </si>
  <si>
    <t>2021년 12월 귀속분 주민세 종업원분 신고납부</t>
  </si>
  <si>
    <t>2022/01/10-0110-OA04-8699-00</t>
  </si>
  <si>
    <t>2022년 주택건설사업자 및 임대사업자 등록면허세 납부</t>
  </si>
  <si>
    <t>2022/01/20-0110-OA04-C974-00</t>
  </si>
  <si>
    <t>BIFC 공동식당 등록면허세 납부</t>
  </si>
  <si>
    <t>2022/01/20-0110-OA04-C978-00</t>
  </si>
  <si>
    <t>2022년 대한주택건설협회 연회비 납부</t>
  </si>
  <si>
    <t>2022/01/26-0110-OA04-3412-00</t>
  </si>
  <si>
    <t>「2021회계연도 기금 결산지원 및 자문용역」인지 구입</t>
  </si>
  <si>
    <t>2022/01/26-0110-OA04-3744-00</t>
  </si>
  <si>
    <t>사내변호사 등록면허세</t>
  </si>
  <si>
    <t>2022/01/28-0110-OA04-9794-00</t>
  </si>
  <si>
    <t>*** 월     계 ***</t>
  </si>
  <si>
    <t>2022년 1월 귀속분 주민세 종업원분 신고납부</t>
  </si>
  <si>
    <t>2022/02/10-0110-OA04-6322-00</t>
  </si>
  <si>
    <t>신입직원 직무역량강화 교육 연수시설 계약 관련 인지구입</t>
  </si>
  <si>
    <t>2022/03/08-0110-OA04-5319-00</t>
  </si>
  <si>
    <t>신입직원 직무역량강화 교육 연수복 구매계약 관련 인지구입</t>
  </si>
  <si>
    <t>2022/03/08-0110-OA04-5323-00</t>
  </si>
  <si>
    <t>2022년 2월 귀속 주민세 종업원분 신고납부</t>
  </si>
  <si>
    <t>2022/03/10-0110-OA04-E341-00</t>
  </si>
  <si>
    <t>2022년 변호사 월회비 지급</t>
  </si>
  <si>
    <t>2022/03/15-0110-OA04-F864-00</t>
  </si>
  <si>
    <t>기금의 운용·관리에 관한 사무위탁 용역 입찰 및 계약 관련 인지세 납부</t>
  </si>
  <si>
    <t>2022/04/07-0110-OA04-2116-00</t>
  </si>
  <si>
    <t>2022년 3월 귀속 주민세 종업원분 신고납부</t>
  </si>
  <si>
    <t>2022/04/11-0110-OA04-9066-00</t>
  </si>
  <si>
    <t>체　크　카　드　가　지　급　금</t>
  </si>
  <si>
    <t>2022년도 도시재생뉴딜 청년인턴십 사업운영 및 지원 용역 인지 구입비</t>
  </si>
  <si>
    <t>2022/04/12-0110-OA04-3834-00</t>
  </si>
  <si>
    <t>국제신용평가 용역 인지 구입</t>
  </si>
  <si>
    <t>2022/04/14-0110-OA04-1871-00</t>
  </si>
  <si>
    <t>2022/04/19-0110-OA04-4158-00</t>
  </si>
  <si>
    <t>전세사기 예방센터 홈페이지 제작 용역 인지세 납부</t>
  </si>
  <si>
    <t>2022/04/21-0110-OA04-4608-00</t>
  </si>
  <si>
    <t>인지세 변경 납부</t>
  </si>
  <si>
    <t>2022/04/28-0110-OA04-5403-00</t>
  </si>
  <si>
    <t>2022년 4월 귀속분 주민세 종업원분 신고납부</t>
  </si>
  <si>
    <t>2022/05/10-0110-OA04-D416-00</t>
  </si>
  <si>
    <t>서울 T타워 21층 일부 전대차 계약에 따른 인지세 지급</t>
  </si>
  <si>
    <t>2022/05/24-0110-OA04-2727-00</t>
  </si>
  <si>
    <t>2022년도 도시재생사업 지원 및 관리 등을 위한 위탁용역 인지 구입비</t>
  </si>
  <si>
    <t>2022/05/27-0110-OA04-7682-00</t>
  </si>
  <si>
    <t>2022년 5월 귀속분 주민세 종업원분 신고납부</t>
  </si>
  <si>
    <t>2022/06/09-0110-OA04-1626-00</t>
  </si>
  <si>
    <t>도시재생사업 보조금 정산용역 인지 구입</t>
  </si>
  <si>
    <t>2022/07/01-0110-OA04-3682-00</t>
  </si>
  <si>
    <t>2022년 6월 귀속분 주민세 종업원분 신고납부</t>
  </si>
  <si>
    <t>2022/07/11-0110-OA04-B956-00</t>
  </si>
  <si>
    <t>2022년 재산세(건축물분) 납부</t>
  </si>
  <si>
    <t>2022/07/29-0110-OA04-9117-00</t>
  </si>
  <si>
    <t>법인연회비 납부</t>
  </si>
  <si>
    <t>2022/08/03-0110-OA04-3411-00</t>
  </si>
  <si>
    <t>직원숙소 재산세 납부(2022년 1기분)</t>
  </si>
  <si>
    <t>2022/08/03-0110-OA04-3413-00</t>
  </si>
  <si>
    <t>원문정보공개시스템 유지보수계약 인지구입</t>
  </si>
  <si>
    <t>2022/08/04-0110-OA04-1568-00</t>
  </si>
  <si>
    <t>사내변호사 등록비</t>
  </si>
  <si>
    <t>2022/08/05-0110-OA04-9538-00</t>
  </si>
  <si>
    <t>2022년 7월 귀속분 주민세 종업원분 신고납부</t>
  </si>
  <si>
    <t>2022/08/09-0110-OA04-2525-00</t>
  </si>
  <si>
    <t>기업신용평가(ICR) 용역 관련 인지구입</t>
  </si>
  <si>
    <t>2022/08/11-0110-OA04-2264-00</t>
  </si>
  <si>
    <t>상담지원 프로그램 운영업체 계약체결 관련 인지구입</t>
  </si>
  <si>
    <t>2022/08/19-0110-OA04-5824-00</t>
  </si>
  <si>
    <t>제1차 하모니허그 워크숍 물품 계약 인지 구입</t>
  </si>
  <si>
    <t>2022/08/19-0110-OA04-5825-00</t>
  </si>
  <si>
    <t>2022/08/26-0110-OA04-8259-00</t>
  </si>
  <si>
    <t>2022년 주민세 사업소분 및 지방교육세 납부</t>
  </si>
  <si>
    <t>2022/08/30-0110-OA04-3235-00</t>
  </si>
  <si>
    <t>제2차 하모니허그 워크숍 위탁업체 계약 인지 구입</t>
  </si>
  <si>
    <t>2022/08/31-0110-OA04-9320-00</t>
  </si>
  <si>
    <t>2022년도 도시재생 크라우드펀딩 지원사업 계약 인지세 납부</t>
  </si>
  <si>
    <t>2022/09/05-0110-OA04-7613-00</t>
  </si>
  <si>
    <t>2022년 8월 귀속분 원천제세 및 주민세 신고납부</t>
  </si>
  <si>
    <t>2022/09/08-0110-OA04-6201-00</t>
  </si>
  <si>
    <t>HUG보증 사업장 드론 동영상 제작 용역계약 인지세 납부</t>
  </si>
  <si>
    <t>2022/09/14-0110-OA04-4540-00</t>
  </si>
  <si>
    <t>재산세(토지분) 납부</t>
  </si>
  <si>
    <t>2022/09/22-0110-OA04-2693-00</t>
  </si>
  <si>
    <t>직원숙소 재산세 납부(2022년 2기분)</t>
  </si>
  <si>
    <t>2022/09/26-0110-OA04-5168-00</t>
  </si>
  <si>
    <t>2022년 신입직원 직무심화교육 등 계약 관련 인지구입</t>
  </si>
  <si>
    <t>2022/09/26-0110-OA04-5608-00</t>
  </si>
  <si>
    <t>채권양도통지 및 권리정보제공 위탁용역</t>
  </si>
  <si>
    <t>2022/09/28-0110-OA04-3536-00</t>
  </si>
  <si>
    <t>등록면허세(면허, 굴착행위신고) 납부</t>
  </si>
  <si>
    <t>2022/09/30-0110-OA04-C343-00</t>
  </si>
  <si>
    <t>2022년 하계휴양소 및 상시리프레시 운영계약 관련 인지 구입</t>
  </si>
  <si>
    <t>2022/10/05-0110-OA04-2846-00</t>
  </si>
  <si>
    <t>정보화 업무 추진 및 운영실태 성과감사 자문용역 인지 구입 요청</t>
  </si>
  <si>
    <t>2022/10/07-0110-OA04-7811-00</t>
  </si>
  <si>
    <t>2022년 9월 귀속 주민세 종업원분 신고납부</t>
  </si>
  <si>
    <t>2022/10/11-0110-OA04-E245-00</t>
  </si>
  <si>
    <t>2022년 도시재생 전문인력 양성사업 위탁용역 위수탁 계약 인지 구입비</t>
  </si>
  <si>
    <t>2022/10/11-0110-OA04-I296-00</t>
  </si>
  <si>
    <t>2022년 CS 집합교육 및 교육콘텐츠 제작 용역 계약 인지세 지급</t>
  </si>
  <si>
    <t>2022/10/18-0110-OA04-1844-00</t>
  </si>
  <si>
    <t>*** 누     계 ***</t>
  </si>
  <si>
    <t>재산세 납부금액</t>
    <phoneticPr fontId="8" type="noConversion"/>
  </si>
  <si>
    <t>2022년도 재산세(토지분) 과세내역</t>
    <phoneticPr fontId="11" type="noConversion"/>
  </si>
  <si>
    <t>1) 종합부동산세 상세내역</t>
    <phoneticPr fontId="30" type="noConversion"/>
  </si>
  <si>
    <t>구    분</t>
    <phoneticPr fontId="30" type="noConversion"/>
  </si>
  <si>
    <t>에이취에이건설㈜</t>
    <phoneticPr fontId="30" type="noConversion"/>
  </si>
  <si>
    <t>대한리츠㈜</t>
  </si>
  <si>
    <t>태평개발</t>
    <phoneticPr fontId="30" type="noConversion"/>
  </si>
  <si>
    <t>주택분 소계
(A)</t>
    <phoneticPr fontId="30" type="noConversion"/>
  </si>
  <si>
    <t>토지분 소계
(B)</t>
    <phoneticPr fontId="51" type="noConversion"/>
  </si>
  <si>
    <t>종합부동산세 합계
(C=A+B)</t>
    <phoneticPr fontId="51" type="noConversion"/>
  </si>
  <si>
    <t>순천 용당 피오레                       
(보증이행으로 취득한 주택)</t>
    <phoneticPr fontId="30" type="noConversion"/>
  </si>
  <si>
    <t>부산 명지 엘크루                               
(보증이행으로 취득한 주택)</t>
    <phoneticPr fontId="30" type="noConversion"/>
  </si>
  <si>
    <t>용운마젤란21아파트             
(보증이행으로 취득한 주택)</t>
    <phoneticPr fontId="30" type="noConversion"/>
  </si>
  <si>
    <t>과세물건수</t>
    <phoneticPr fontId="54" type="noConversion"/>
  </si>
  <si>
    <t>구분</t>
    <phoneticPr fontId="51" type="noConversion"/>
  </si>
  <si>
    <t>과세물건수</t>
  </si>
  <si>
    <t>감면후 공시가격합계</t>
  </si>
  <si>
    <t>부과된 재산세액</t>
  </si>
  <si>
    <t>①감면후 공시가격 합계</t>
    <phoneticPr fontId="54" type="noConversion"/>
  </si>
  <si>
    <t>용당피오레</t>
  </si>
  <si>
    <t>②공제금액</t>
    <phoneticPr fontId="54" type="noConversion"/>
  </si>
  <si>
    <t>엘크루</t>
  </si>
  <si>
    <t>③공정시장가액비율</t>
    <phoneticPr fontId="54" type="noConversion"/>
  </si>
  <si>
    <t>마젤란</t>
  </si>
  <si>
    <t>④과세표준 {(①-②)×③}</t>
    <phoneticPr fontId="54" type="noConversion"/>
  </si>
  <si>
    <t>⑤세율</t>
    <phoneticPr fontId="51" type="noConversion"/>
  </si>
  <si>
    <r>
      <rPr>
        <b/>
        <sz val="16"/>
        <rFont val="돋움"/>
        <family val="3"/>
        <charset val="129"/>
      </rPr>
      <t>＊</t>
    </r>
    <r>
      <rPr>
        <b/>
        <sz val="16"/>
        <rFont val="돋움"/>
        <family val="3"/>
        <charset val="129"/>
      </rPr>
      <t>표준세율로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계산한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재산세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상당액의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표준세율</t>
    </r>
    <phoneticPr fontId="51" type="noConversion"/>
  </si>
  <si>
    <t>⑥재산세 공제전 종합부동산세 금액</t>
    <phoneticPr fontId="51" type="noConversion"/>
  </si>
  <si>
    <t>⑦공제할 재산세액=(A*B)/C</t>
    <phoneticPr fontId="51" type="noConversion"/>
  </si>
  <si>
    <t>주택</t>
    <phoneticPr fontId="51" type="noConversion"/>
  </si>
  <si>
    <t>(A)해당연도 재산세로 부과된 세액 합계액</t>
    <phoneticPr fontId="54" type="noConversion"/>
  </si>
  <si>
    <t>(B)종부세 과세표준에 대한 재산세 상당액</t>
    <phoneticPr fontId="54" type="noConversion"/>
  </si>
  <si>
    <t>(C)총 표준세율 재산세 상당액</t>
    <phoneticPr fontId="54" type="noConversion"/>
  </si>
  <si>
    <t xml:space="preserve"> ⑧종합부동산세 결정세액(⑥-⑦)</t>
    <phoneticPr fontId="54" type="noConversion"/>
  </si>
  <si>
    <r>
      <t xml:space="preserve"> </t>
    </r>
    <r>
      <rPr>
        <sz val="15"/>
        <color indexed="8"/>
        <rFont val="맑은 고딕"/>
        <family val="3"/>
        <charset val="129"/>
      </rPr>
      <t>⑨</t>
    </r>
    <r>
      <rPr>
        <sz val="15"/>
        <color indexed="8"/>
        <rFont val="맑은 고딕"/>
        <family val="3"/>
        <charset val="129"/>
      </rPr>
      <t>농어촌특별세액(⑧*20%)</t>
    </r>
    <phoneticPr fontId="54" type="noConversion"/>
  </si>
  <si>
    <t>⑩납부할세액(⑧+ ⑨)</t>
    <phoneticPr fontId="54" type="noConversion"/>
  </si>
  <si>
    <t>합산 후 산출세액</t>
    <phoneticPr fontId="51" type="noConversion"/>
  </si>
  <si>
    <t>(-)개별 산출세액 합산</t>
    <phoneticPr fontId="51" type="noConversion"/>
  </si>
  <si>
    <t>*세부담상한 초과액 없음</t>
    <phoneticPr fontId="51" type="noConversion"/>
  </si>
  <si>
    <t>2) 종합부동산세 안분내역</t>
    <phoneticPr fontId="30" type="noConversion"/>
  </si>
  <si>
    <t>별도합산토지</t>
    <phoneticPr fontId="51" type="noConversion"/>
  </si>
  <si>
    <t>구  분</t>
    <phoneticPr fontId="30" type="noConversion"/>
  </si>
  <si>
    <t>총 금액</t>
    <phoneticPr fontId="51" type="noConversion"/>
  </si>
  <si>
    <t>분납 금액</t>
    <phoneticPr fontId="51" type="noConversion"/>
  </si>
  <si>
    <r>
      <t>1</t>
    </r>
    <r>
      <rPr>
        <b/>
        <sz val="16"/>
        <rFont val="돋움"/>
        <family val="3"/>
        <charset val="129"/>
      </rPr>
      <t>차</t>
    </r>
    <phoneticPr fontId="51" type="noConversion"/>
  </si>
  <si>
    <r>
      <t>2</t>
    </r>
    <r>
      <rPr>
        <b/>
        <sz val="16"/>
        <rFont val="돋움"/>
        <family val="3"/>
        <charset val="129"/>
      </rPr>
      <t>차</t>
    </r>
    <phoneticPr fontId="51" type="noConversion"/>
  </si>
  <si>
    <t>업체 안분세액</t>
    <phoneticPr fontId="30" type="noConversion"/>
  </si>
  <si>
    <t>소 계</t>
    <phoneticPr fontId="30" type="noConversion"/>
  </si>
  <si>
    <t>공사 안분세액</t>
    <phoneticPr fontId="30" type="noConversion"/>
  </si>
  <si>
    <t>BIFC 부속토지</t>
    <phoneticPr fontId="51" type="noConversion"/>
  </si>
  <si>
    <t>주택 합산으로 인한 초과분</t>
    <phoneticPr fontId="51" type="noConversion"/>
  </si>
  <si>
    <t>3) 종합부동산세 납부예정 내역</t>
    <phoneticPr fontId="30" type="noConversion"/>
  </si>
  <si>
    <t>종합부동산세액</t>
    <phoneticPr fontId="51" type="noConversion"/>
  </si>
  <si>
    <t>농어촌특별세액</t>
    <phoneticPr fontId="51" type="noConversion"/>
  </si>
  <si>
    <t>납부세액 합계</t>
    <phoneticPr fontId="30" type="noConversion"/>
  </si>
  <si>
    <t>4) 회계처리(납부세액 - 원단위 절사)</t>
    <phoneticPr fontId="51" type="noConversion"/>
  </si>
  <si>
    <r>
      <t>&lt;</t>
    </r>
    <r>
      <rPr>
        <b/>
        <sz val="15"/>
        <rFont val="돋움"/>
        <family val="3"/>
        <charset val="129"/>
      </rPr>
      <t>회계처리</t>
    </r>
    <r>
      <rPr>
        <b/>
        <sz val="15"/>
        <rFont val="Arial"/>
        <family val="2"/>
      </rPr>
      <t>(22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12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>, 1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분납세액</t>
    </r>
    <r>
      <rPr>
        <b/>
        <sz val="15"/>
        <rFont val="Arial"/>
        <family val="2"/>
      </rPr>
      <t>)&gt;</t>
    </r>
    <phoneticPr fontId="51" type="noConversion"/>
  </si>
  <si>
    <r>
      <rPr>
        <sz val="15"/>
        <rFont val="돋움"/>
        <family val="3"/>
        <charset val="129"/>
      </rPr>
      <t>일반가지급금</t>
    </r>
    <r>
      <rPr>
        <sz val="15"/>
        <rFont val="Arial"/>
        <family val="2"/>
      </rPr>
      <t>(</t>
    </r>
    <r>
      <rPr>
        <sz val="15"/>
        <rFont val="돋움"/>
        <family val="3"/>
        <charset val="129"/>
      </rPr>
      <t>중부관리센터</t>
    </r>
    <r>
      <rPr>
        <sz val="15"/>
        <rFont val="Arial"/>
        <family val="2"/>
      </rPr>
      <t>)</t>
    </r>
    <phoneticPr fontId="51" type="noConversion"/>
  </si>
  <si>
    <t>요구불예금</t>
    <phoneticPr fontId="51" type="noConversion"/>
  </si>
  <si>
    <r>
      <t>(</t>
    </r>
    <r>
      <rPr>
        <sz val="15"/>
        <rFont val="돋움"/>
        <family val="3"/>
        <charset val="129"/>
      </rPr>
      <t>지출처리</t>
    </r>
    <r>
      <rPr>
        <sz val="15"/>
        <rFont val="Arial"/>
        <family val="2"/>
      </rPr>
      <t>)</t>
    </r>
    <phoneticPr fontId="51" type="noConversion"/>
  </si>
  <si>
    <r>
      <rPr>
        <sz val="15"/>
        <rFont val="돋움"/>
        <family val="3"/>
        <charset val="129"/>
      </rPr>
      <t>일반가지급금</t>
    </r>
    <r>
      <rPr>
        <sz val="15"/>
        <rFont val="Arial"/>
        <family val="2"/>
      </rPr>
      <t>(</t>
    </r>
    <r>
      <rPr>
        <sz val="15"/>
        <rFont val="돋움"/>
        <family val="3"/>
        <charset val="129"/>
      </rPr>
      <t>서울북부관리센터</t>
    </r>
    <r>
      <rPr>
        <sz val="15"/>
        <rFont val="Arial"/>
        <family val="2"/>
      </rPr>
      <t>)</t>
    </r>
    <phoneticPr fontId="51" type="noConversion"/>
  </si>
  <si>
    <r>
      <rPr>
        <sz val="15"/>
        <rFont val="돋움"/>
        <family val="3"/>
        <charset val="129"/>
      </rPr>
      <t>일반가지급금</t>
    </r>
    <r>
      <rPr>
        <sz val="15"/>
        <rFont val="Arial"/>
        <family val="2"/>
      </rPr>
      <t>(</t>
    </r>
    <r>
      <rPr>
        <sz val="15"/>
        <rFont val="돋움"/>
        <family val="3"/>
        <charset val="129"/>
      </rPr>
      <t>서울동부관리센터</t>
    </r>
    <r>
      <rPr>
        <sz val="15"/>
        <rFont val="Arial"/>
        <family val="2"/>
      </rPr>
      <t>)</t>
    </r>
    <phoneticPr fontId="51" type="noConversion"/>
  </si>
  <si>
    <r>
      <rPr>
        <sz val="15"/>
        <rFont val="돋움"/>
        <family val="3"/>
        <charset val="129"/>
      </rPr>
      <t>사</t>
    </r>
    <r>
      <rPr>
        <sz val="15"/>
        <rFont val="Arial"/>
        <family val="2"/>
      </rPr>
      <t>:</t>
    </r>
    <r>
      <rPr>
        <sz val="15"/>
        <rFont val="돋움"/>
        <family val="3"/>
        <charset val="129"/>
      </rPr>
      <t>세금공과금</t>
    </r>
    <phoneticPr fontId="51" type="noConversion"/>
  </si>
  <si>
    <t>잡수익</t>
    <phoneticPr fontId="51" type="noConversion"/>
  </si>
  <si>
    <t>(전표처리-원단위절사금액)</t>
  </si>
  <si>
    <r>
      <t>&lt;</t>
    </r>
    <r>
      <rPr>
        <b/>
        <sz val="15"/>
        <rFont val="돋움"/>
        <family val="3"/>
        <charset val="129"/>
      </rPr>
      <t>회계처리</t>
    </r>
    <r>
      <rPr>
        <b/>
        <sz val="15"/>
        <rFont val="Arial"/>
        <family val="2"/>
      </rPr>
      <t>(22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12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>- 2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분납세액</t>
    </r>
    <r>
      <rPr>
        <b/>
        <sz val="15"/>
        <rFont val="Arial"/>
        <family val="2"/>
      </rPr>
      <t>)&gt;</t>
    </r>
    <phoneticPr fontId="51" type="noConversion"/>
  </si>
  <si>
    <t>기타미지급비용</t>
    <phoneticPr fontId="51" type="noConversion"/>
  </si>
  <si>
    <r>
      <t>&lt;</t>
    </r>
    <r>
      <rPr>
        <b/>
        <sz val="15"/>
        <rFont val="돋움"/>
        <family val="3"/>
        <charset val="129"/>
      </rPr>
      <t>회계처리</t>
    </r>
    <r>
      <rPr>
        <b/>
        <sz val="15"/>
        <rFont val="Arial"/>
        <family val="2"/>
      </rPr>
      <t>(23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6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>- 2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분납세액</t>
    </r>
    <r>
      <rPr>
        <b/>
        <sz val="15"/>
        <rFont val="Arial"/>
        <family val="2"/>
      </rPr>
      <t>)&gt;</t>
    </r>
    <phoneticPr fontId="51" type="noConversion"/>
  </si>
  <si>
    <t>&lt;참고 : 납부서 금액과 신고서 금액 차이&gt;</t>
    <phoneticPr fontId="51" type="noConversion"/>
  </si>
  <si>
    <r>
      <t>2022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12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분납액</t>
    </r>
    <r>
      <rPr>
        <b/>
        <sz val="15"/>
        <rFont val="Arial"/>
        <family val="2"/>
      </rPr>
      <t>(1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>)</t>
    </r>
    <phoneticPr fontId="51" type="noConversion"/>
  </si>
  <si>
    <r>
      <t>2023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6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분납액</t>
    </r>
    <r>
      <rPr>
        <b/>
        <sz val="15"/>
        <rFont val="Arial"/>
        <family val="2"/>
      </rPr>
      <t>(2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>)</t>
    </r>
    <phoneticPr fontId="51" type="noConversion"/>
  </si>
  <si>
    <r>
      <rPr>
        <b/>
        <sz val="15"/>
        <rFont val="돋움"/>
        <family val="3"/>
        <charset val="129"/>
      </rPr>
      <t>총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납부</t>
    </r>
    <r>
      <rPr>
        <b/>
        <sz val="15"/>
        <rFont val="Arial"/>
        <family val="2"/>
      </rPr>
      <t>(</t>
    </r>
    <r>
      <rPr>
        <b/>
        <sz val="15"/>
        <rFont val="돋움"/>
        <family val="3"/>
        <charset val="129"/>
      </rPr>
      <t>신고</t>
    </r>
    <r>
      <rPr>
        <b/>
        <sz val="15"/>
        <rFont val="Arial"/>
        <family val="2"/>
      </rPr>
      <t xml:space="preserve">) </t>
    </r>
    <r>
      <rPr>
        <b/>
        <sz val="15"/>
        <rFont val="돋움"/>
        <family val="3"/>
        <charset val="129"/>
      </rPr>
      <t>금액</t>
    </r>
    <phoneticPr fontId="51" type="noConversion"/>
  </si>
  <si>
    <t>납부서</t>
    <phoneticPr fontId="51" type="noConversion"/>
  </si>
  <si>
    <t>12월 납부서 분납금액
(원단위 절사)</t>
    <phoneticPr fontId="51" type="noConversion"/>
  </si>
  <si>
    <t>6월 납부서 분납금액
(원단위 절사)</t>
    <phoneticPr fontId="51" type="noConversion"/>
  </si>
  <si>
    <r>
      <rPr>
        <b/>
        <sz val="16"/>
        <rFont val="돋움"/>
        <family val="3"/>
        <charset val="129"/>
      </rPr>
      <t>납부서상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금액</t>
    </r>
    <r>
      <rPr>
        <b/>
        <sz val="16"/>
        <rFont val="Arial"/>
        <family val="2"/>
      </rPr>
      <t xml:space="preserve">
(</t>
    </r>
    <r>
      <rPr>
        <b/>
        <sz val="16"/>
        <rFont val="돋움"/>
        <family val="3"/>
        <charset val="129"/>
      </rPr>
      <t>원단위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절사</t>
    </r>
    <r>
      <rPr>
        <b/>
        <sz val="16"/>
        <rFont val="Arial"/>
        <family val="2"/>
      </rPr>
      <t>)</t>
    </r>
    <phoneticPr fontId="51" type="noConversion"/>
  </si>
  <si>
    <t>종합부동산세</t>
    <phoneticPr fontId="51" type="noConversion"/>
  </si>
  <si>
    <t>농특세</t>
    <phoneticPr fontId="51" type="noConversion"/>
  </si>
  <si>
    <t>납부서 합계</t>
    <phoneticPr fontId="51" type="noConversion"/>
  </si>
  <si>
    <t>신고서</t>
    <phoneticPr fontId="51" type="noConversion"/>
  </si>
  <si>
    <t>12월 납부서 분납금액</t>
    <phoneticPr fontId="51" type="noConversion"/>
  </si>
  <si>
    <t>6월 납부서 분납금액</t>
    <phoneticPr fontId="51" type="noConversion"/>
  </si>
  <si>
    <t>신고서상 금액(총액)</t>
    <phoneticPr fontId="51" type="noConversion"/>
  </si>
  <si>
    <t>신고서 합계</t>
    <phoneticPr fontId="51" type="noConversion"/>
  </si>
  <si>
    <t>차이(잡수익)</t>
    <phoneticPr fontId="51" type="noConversion"/>
  </si>
  <si>
    <t>본점(부산 남구)</t>
    <phoneticPr fontId="8" type="noConversion"/>
  </si>
  <si>
    <t>본점(부산 동구)</t>
    <phoneticPr fontId="8" type="noConversion"/>
  </si>
  <si>
    <t>본점(부산 진구)</t>
    <phoneticPr fontId="8" type="noConversion"/>
  </si>
  <si>
    <t>본점(서울 영등포구)</t>
    <phoneticPr fontId="8" type="noConversion"/>
  </si>
  <si>
    <t>본점(서울 중구)</t>
    <phoneticPr fontId="8" type="noConversion"/>
  </si>
  <si>
    <t>본점(서울 강남구)</t>
    <phoneticPr fontId="8" type="noConversion"/>
  </si>
  <si>
    <t>경기북부지사</t>
  </si>
  <si>
    <t>경기남부지사</t>
  </si>
  <si>
    <t>도시금융리츠자산관리센터</t>
  </si>
  <si>
    <t>1월 이자소득(법인사업자)</t>
    <phoneticPr fontId="8" type="noConversion"/>
  </si>
  <si>
    <t>1월 이자소득(개인사업자)</t>
    <phoneticPr fontId="8" type="noConversion"/>
  </si>
  <si>
    <t>구분</t>
    <phoneticPr fontId="6" type="Hiragana"/>
  </si>
  <si>
    <t>연도</t>
    <phoneticPr fontId="3" type="Hiragana"/>
  </si>
  <si>
    <t>2023년</t>
    <phoneticPr fontId="3" type="Hiragana"/>
  </si>
  <si>
    <t>(단위: 원)</t>
    <phoneticPr fontId="6" type="Hiragana"/>
  </si>
  <si>
    <t>2023년</t>
    <phoneticPr fontId="6" type="Hiragana"/>
  </si>
  <si>
    <t>* 미환류소득에 대한 법인세 포함</t>
    <phoneticPr fontId="6" type="Hiragana"/>
  </si>
  <si>
    <t>2024년 1기 예정</t>
    <phoneticPr fontId="6" type="Hiragana"/>
  </si>
  <si>
    <t>2024년 1기 확정</t>
    <phoneticPr fontId="6" type="Hiragana"/>
  </si>
  <si>
    <t>2024년 2기 예정</t>
    <phoneticPr fontId="6" type="Hiragana"/>
  </si>
  <si>
    <t>2024년 2기 확정</t>
    <phoneticPr fontId="6" type="Hiragana"/>
  </si>
  <si>
    <t>2024년</t>
    <phoneticPr fontId="3" type="Hiragana"/>
  </si>
  <si>
    <t>* 법인지방소득세는 2023년 총부담세액 기준(미환류소득에 대한 법인지방소득세 포함)</t>
    <phoneticPr fontId="2" type="Hiragana"/>
  </si>
  <si>
    <t>* 가산세는 납부할세액(납부세액-세액공제+가산세)에 반영되므로, 납부세액(매출세액-매입세액)에는 미반영</t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</si>
</sst>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(&quot;$&quot;* #,##0_);_(&quot;$&quot;* \(#,##0\);_(&quot;$&quot;* &quot;-&quot;_);_(@_)"/>
    <numFmt numFmtId="178" formatCode="mm&quot;월&quot;\ dd&quot;일&quot;"/>
    <numFmt numFmtId="179" formatCode="\①\ #,###"/>
    <numFmt numFmtId="180" formatCode="\②\ #,###"/>
    <numFmt numFmtId="181" formatCode="0_ "/>
    <numFmt numFmtId="182" formatCode="yyyy&quot;-&quot;mm&quot;-&quot;dd"/>
    <numFmt numFmtId="183" formatCode="#,##0_);\(#,##0\)"/>
    <numFmt numFmtId="184" formatCode="0.0%"/>
    <numFmt numFmtId="185" formatCode="#,##0_);[Red]\(#,##0\)"/>
    <numFmt numFmtId="186" formatCode="_-* #,##0_-;\-* #,##0_-;_-* &quot;-&quot;??_-;_-@_-"/>
  </numFmts>
  <fonts count="87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3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1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굴림체"/>
      <family val="3"/>
      <charset val="129"/>
    </font>
    <font>
      <sz val="7"/>
      <name val="굴림체"/>
      <family val="3"/>
      <charset val="129"/>
    </font>
    <font>
      <sz val="10"/>
      <color theme="4" tint="-0.49998474074526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22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color rgb="FFFF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5"/>
      <name val="맑은 고딕"/>
      <family val="3"/>
      <charset val="129"/>
      <scheme val="minor"/>
    </font>
    <font>
      <sz val="15"/>
      <name val="맑은 고딕"/>
      <family val="3"/>
      <charset val="129"/>
    </font>
    <font>
      <b/>
      <sz val="18"/>
      <name val="돋움"/>
      <family val="3"/>
      <charset val="129"/>
    </font>
    <font>
      <b/>
      <sz val="18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sz val="16"/>
      <name val="Arial"/>
      <family val="2"/>
    </font>
    <font>
      <b/>
      <sz val="16"/>
      <color rgb="FFFF0000"/>
      <name val="맑은 고딕"/>
      <family val="3"/>
      <charset val="129"/>
    </font>
    <font>
      <b/>
      <sz val="14"/>
      <name val="맑은 고딕"/>
      <family val="3"/>
      <charset val="129"/>
    </font>
    <font>
      <sz val="22"/>
      <name val="Arial"/>
      <family val="2"/>
    </font>
    <font>
      <sz val="20"/>
      <name val="Arial"/>
      <family val="2"/>
    </font>
    <font>
      <sz val="15"/>
      <name val="맑은고딕"/>
      <family val="3"/>
      <charset val="129"/>
    </font>
    <font>
      <b/>
      <sz val="15"/>
      <color theme="1"/>
      <name val="맑은고딕"/>
      <family val="3"/>
      <charset val="129"/>
    </font>
    <font>
      <b/>
      <sz val="15"/>
      <name val="맑은고딕"/>
      <family val="3"/>
      <charset val="129"/>
    </font>
    <font>
      <b/>
      <sz val="15"/>
      <name val="Arial"/>
      <family val="2"/>
    </font>
    <font>
      <b/>
      <sz val="16"/>
      <color rgb="FFFF0000"/>
      <name val="맑은 고딕"/>
      <family val="3"/>
      <charset val="129"/>
      <scheme val="minor"/>
    </font>
    <font>
      <b/>
      <sz val="15"/>
      <color rgb="FFFF0000"/>
      <name val="맑은고딕"/>
      <family val="3"/>
      <charset val="129"/>
    </font>
    <font>
      <sz val="15"/>
      <name val="Arial"/>
      <family val="2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1"/>
      <color rgb="FFFF0000"/>
      <name val="맑은 고딕"/>
      <family val="2"/>
      <scheme val="minor"/>
    </font>
    <font>
      <sz val="11"/>
      <name val="돋움"/>
      <family val="3"/>
    </font>
    <font>
      <sz val="10"/>
      <color theme="1"/>
      <name val="맑은 고딕"/>
      <family val="2"/>
      <scheme val="minor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/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5" fillId="0" borderId="0"/>
    <xf numFmtId="0" fontId="17" fillId="0" borderId="0"/>
    <xf numFmtId="177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83" fillId="0" borderId="0"/>
    <xf numFmtId="41" fontId="15" fillId="0" borderId="0" applyFont="0" applyFill="0" applyBorder="0" applyAlignment="0" applyProtection="0"/>
  </cellStyleXfs>
  <cellXfs count="481">
    <xf numFmtId="0" fontId="0" fillId="0" borderId="0" xfId="0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41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3" fillId="5" borderId="3" xfId="0" applyFont="1" applyFill="1" applyBorder="1" applyAlignment="1" applyProtection="1">
      <alignment horizontal="center" wrapText="1"/>
      <protection locked="0"/>
    </xf>
    <xf numFmtId="176" fontId="14" fillId="0" borderId="0" xfId="0" applyNumberFormat="1" applyFont="1" applyBorder="1" applyAlignment="1" applyProtection="1">
      <alignment vertical="center" wrapText="1"/>
      <protection locked="0"/>
    </xf>
    <xf numFmtId="176" fontId="14" fillId="6" borderId="3" xfId="0" applyNumberFormat="1" applyFont="1" applyFill="1" applyBorder="1" applyAlignment="1" applyProtection="1">
      <alignment vertical="center" wrapText="1"/>
      <protection locked="0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1" fontId="12" fillId="0" borderId="0" xfId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left" vertical="center"/>
    </xf>
    <xf numFmtId="176" fontId="16" fillId="0" borderId="0" xfId="0" applyNumberFormat="1" applyFont="1" applyBorder="1" applyAlignment="1" applyProtection="1">
      <alignment vertical="center" wrapText="1"/>
      <protection locked="0"/>
    </xf>
    <xf numFmtId="0" fontId="18" fillId="0" borderId="0" xfId="0" applyFont="1"/>
    <xf numFmtId="0" fontId="19" fillId="0" borderId="0" xfId="0" applyFont="1"/>
    <xf numFmtId="41" fontId="0" fillId="0" borderId="0" xfId="0" applyNumberFormat="1"/>
    <xf numFmtId="0" fontId="20" fillId="0" borderId="0" xfId="0" applyFont="1" applyAlignment="1">
      <alignment vertical="center"/>
    </xf>
    <xf numFmtId="176" fontId="14" fillId="3" borderId="3" xfId="0" applyNumberFormat="1" applyFont="1" applyFill="1" applyBorder="1" applyAlignment="1" applyProtection="1">
      <alignment horizontal="right" vertical="center" wrapText="1"/>
      <protection locked="0"/>
    </xf>
    <xf numFmtId="176" fontId="14" fillId="3" borderId="3" xfId="0" applyNumberFormat="1" applyFont="1" applyFill="1" applyBorder="1" applyAlignment="1" applyProtection="1">
      <alignment vertical="center" wrapText="1"/>
      <protection locked="0"/>
    </xf>
    <xf numFmtId="176" fontId="10" fillId="0" borderId="0" xfId="0" applyNumberFormat="1" applyFont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12" fillId="0" borderId="3" xfId="0" applyFont="1" applyFill="1" applyBorder="1" applyAlignment="1">
      <alignment horizontal="center" vertical="center" wrapText="1"/>
    </xf>
    <xf numFmtId="41" fontId="12" fillId="0" borderId="3" xfId="1" applyFont="1" applyFill="1" applyBorder="1" applyAlignment="1">
      <alignment horizontal="right" vertical="center" wrapText="1"/>
    </xf>
    <xf numFmtId="41" fontId="12" fillId="0" borderId="3" xfId="1" applyFont="1" applyFill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3" fontId="30" fillId="0" borderId="3" xfId="0" applyNumberFormat="1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 wrapText="1"/>
    </xf>
    <xf numFmtId="3" fontId="30" fillId="0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3" fontId="30" fillId="0" borderId="15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178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0" fillId="0" borderId="3" xfId="0" applyFont="1" applyBorder="1" applyAlignment="1">
      <alignment horizontal="left" vertical="center" wrapText="1"/>
    </xf>
    <xf numFmtId="0" fontId="30" fillId="0" borderId="3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1" fillId="6" borderId="17" xfId="0" applyFont="1" applyFill="1" applyBorder="1" applyAlignment="1">
      <alignment horizontal="center" vertical="center"/>
    </xf>
    <xf numFmtId="0" fontId="31" fillId="6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8" fillId="0" borderId="0" xfId="0" applyFont="1"/>
    <xf numFmtId="0" fontId="30" fillId="0" borderId="0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/>
    </xf>
    <xf numFmtId="3" fontId="33" fillId="9" borderId="0" xfId="0" applyNumberFormat="1" applyFont="1" applyFill="1" applyBorder="1" applyAlignment="1">
      <alignment horizontal="center" vertical="center" wrapText="1"/>
    </xf>
    <xf numFmtId="0" fontId="34" fillId="9" borderId="25" xfId="0" applyFont="1" applyFill="1" applyBorder="1" applyAlignment="1">
      <alignment vertical="center"/>
    </xf>
    <xf numFmtId="0" fontId="33" fillId="9" borderId="0" xfId="0" applyFont="1" applyFill="1" applyBorder="1" applyAlignment="1">
      <alignment horizontal="right" vertical="center" wrapText="1"/>
    </xf>
    <xf numFmtId="0" fontId="35" fillId="0" borderId="0" xfId="0" applyFont="1" applyAlignment="1">
      <alignment vertical="center"/>
    </xf>
    <xf numFmtId="0" fontId="38" fillId="0" borderId="3" xfId="0" applyFont="1" applyBorder="1" applyAlignment="1">
      <alignment horizontal="center" vertical="center" wrapText="1"/>
    </xf>
    <xf numFmtId="179" fontId="38" fillId="0" borderId="3" xfId="1" applyNumberFormat="1" applyFont="1" applyBorder="1" applyAlignment="1">
      <alignment horizontal="right" vertical="center" wrapText="1"/>
    </xf>
    <xf numFmtId="41" fontId="38" fillId="0" borderId="3" xfId="1" applyFont="1" applyBorder="1" applyAlignment="1">
      <alignment horizontal="right" vertical="center" wrapText="1"/>
    </xf>
    <xf numFmtId="180" fontId="38" fillId="0" borderId="3" xfId="1" applyNumberFormat="1" applyFont="1" applyBorder="1" applyAlignment="1">
      <alignment horizontal="right" vertical="center" wrapText="1"/>
    </xf>
    <xf numFmtId="41" fontId="38" fillId="0" borderId="3" xfId="1" applyFont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0" fillId="0" borderId="3" xfId="0" applyBorder="1" applyAlignment="1">
      <alignment horizontal="center"/>
    </xf>
    <xf numFmtId="3" fontId="0" fillId="0" borderId="3" xfId="0" applyNumberFormat="1" applyBorder="1" applyAlignment="1">
      <alignment horizontal="center"/>
    </xf>
    <xf numFmtId="0" fontId="38" fillId="0" borderId="9" xfId="0" applyFont="1" applyFill="1" applyBorder="1" applyAlignment="1">
      <alignment horizontal="center" vertical="center" wrapText="1"/>
    </xf>
    <xf numFmtId="0" fontId="38" fillId="0" borderId="10" xfId="0" applyFont="1" applyFill="1" applyBorder="1" applyAlignment="1">
      <alignment horizontal="center" vertical="center" wrapText="1"/>
    </xf>
    <xf numFmtId="0" fontId="38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3" fontId="0" fillId="0" borderId="13" xfId="0" applyNumberFormat="1" applyBorder="1" applyAlignment="1">
      <alignment horizontal="center"/>
    </xf>
    <xf numFmtId="0" fontId="32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3" fontId="32" fillId="3" borderId="16" xfId="0" applyNumberFormat="1" applyFont="1" applyFill="1" applyBorder="1" applyAlignment="1">
      <alignment horizontal="center"/>
    </xf>
    <xf numFmtId="0" fontId="41" fillId="0" borderId="0" xfId="0" applyFont="1" applyAlignment="1">
      <alignment vertical="center"/>
    </xf>
    <xf numFmtId="0" fontId="35" fillId="0" borderId="29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0" fillId="0" borderId="0" xfId="0" applyBorder="1"/>
    <xf numFmtId="0" fontId="0" fillId="0" borderId="30" xfId="0" applyBorder="1"/>
    <xf numFmtId="0" fontId="32" fillId="0" borderId="29" xfId="0" applyFont="1" applyBorder="1" applyAlignment="1">
      <alignment vertical="center"/>
    </xf>
    <xf numFmtId="0" fontId="38" fillId="0" borderId="12" xfId="0" applyFont="1" applyBorder="1" applyAlignment="1">
      <alignment horizontal="center" vertical="center" wrapText="1"/>
    </xf>
    <xf numFmtId="0" fontId="0" fillId="0" borderId="2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5" xfId="0" applyBorder="1"/>
    <xf numFmtId="0" fontId="0" fillId="0" borderId="34" xfId="0" applyBorder="1"/>
    <xf numFmtId="0" fontId="35" fillId="0" borderId="30" xfId="0" applyFont="1" applyBorder="1" applyAlignment="1">
      <alignment vertical="center"/>
    </xf>
    <xf numFmtId="0" fontId="38" fillId="0" borderId="13" xfId="0" applyFont="1" applyBorder="1" applyAlignment="1">
      <alignment horizontal="center" vertical="center" wrapText="1"/>
    </xf>
    <xf numFmtId="3" fontId="38" fillId="0" borderId="13" xfId="0" applyNumberFormat="1" applyFont="1" applyBorder="1" applyAlignment="1">
      <alignment horizontal="right" vertical="center" wrapText="1"/>
    </xf>
    <xf numFmtId="3" fontId="39" fillId="0" borderId="13" xfId="0" applyNumberFormat="1" applyFont="1" applyBorder="1" applyAlignment="1">
      <alignment horizontal="right" vertical="center" wrapText="1"/>
    </xf>
    <xf numFmtId="3" fontId="40" fillId="3" borderId="13" xfId="0" applyNumberFormat="1" applyFont="1" applyFill="1" applyBorder="1" applyAlignment="1">
      <alignment horizontal="right" vertical="center" wrapText="1"/>
    </xf>
    <xf numFmtId="0" fontId="0" fillId="0" borderId="30" xfId="0" applyBorder="1" applyAlignment="1">
      <alignment vertical="center"/>
    </xf>
    <xf numFmtId="41" fontId="38" fillId="3" borderId="13" xfId="1" applyFont="1" applyFill="1" applyBorder="1" applyAlignment="1">
      <alignment horizontal="right" vertical="center" wrapText="1"/>
    </xf>
    <xf numFmtId="41" fontId="39" fillId="3" borderId="16" xfId="1" applyFont="1" applyFill="1" applyBorder="1" applyAlignment="1">
      <alignment horizontal="right" vertical="center" wrapText="1"/>
    </xf>
    <xf numFmtId="0" fontId="0" fillId="0" borderId="29" xfId="0" applyBorder="1"/>
    <xf numFmtId="0" fontId="0" fillId="0" borderId="35" xfId="0" applyBorder="1"/>
    <xf numFmtId="0" fontId="32" fillId="11" borderId="26" xfId="0" applyFont="1" applyFill="1" applyBorder="1" applyAlignment="1">
      <alignment horizontal="right"/>
    </xf>
    <xf numFmtId="3" fontId="32" fillId="11" borderId="36" xfId="0" applyNumberFormat="1" applyFont="1" applyFill="1" applyBorder="1" applyAlignment="1">
      <alignment horizontal="right"/>
    </xf>
    <xf numFmtId="0" fontId="32" fillId="12" borderId="3" xfId="0" applyFont="1" applyFill="1" applyBorder="1" applyAlignment="1">
      <alignment horizontal="center" vertical="center"/>
    </xf>
    <xf numFmtId="41" fontId="0" fillId="0" borderId="3" xfId="1" applyFont="1" applyBorder="1">
      <alignment vertical="center"/>
    </xf>
    <xf numFmtId="41" fontId="0" fillId="0" borderId="3" xfId="0" applyNumberFormat="1" applyBorder="1" applyAlignment="1">
      <alignment vertical="center"/>
    </xf>
    <xf numFmtId="41" fontId="32" fillId="12" borderId="3" xfId="1" applyFont="1" applyFill="1" applyBorder="1">
      <alignment vertical="center"/>
    </xf>
    <xf numFmtId="41" fontId="32" fillId="12" borderId="3" xfId="0" applyNumberFormat="1" applyFont="1" applyFill="1" applyBorder="1" applyAlignment="1">
      <alignment vertical="center"/>
    </xf>
    <xf numFmtId="0" fontId="32" fillId="12" borderId="3" xfId="0" applyFont="1" applyFill="1" applyBorder="1" applyAlignment="1">
      <alignment horizontal="center" vertical="center" wrapText="1"/>
    </xf>
    <xf numFmtId="0" fontId="35" fillId="12" borderId="3" xfId="0" applyFont="1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3" borderId="3" xfId="0" applyFill="1" applyBorder="1" applyAlignment="1">
      <alignment vertical="center"/>
    </xf>
    <xf numFmtId="41" fontId="32" fillId="13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41" fontId="0" fillId="0" borderId="3" xfId="1" applyFont="1" applyFill="1" applyBorder="1">
      <alignment vertical="center"/>
    </xf>
    <xf numFmtId="0" fontId="32" fillId="6" borderId="3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41" fontId="32" fillId="6" borderId="3" xfId="1" applyFont="1" applyFill="1" applyBorder="1">
      <alignment vertical="center"/>
    </xf>
    <xf numFmtId="0" fontId="32" fillId="0" borderId="3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/>
    </xf>
    <xf numFmtId="41" fontId="35" fillId="0" borderId="3" xfId="1" applyFont="1" applyFill="1" applyBorder="1">
      <alignment vertical="center"/>
    </xf>
    <xf numFmtId="0" fontId="0" fillId="6" borderId="3" xfId="0" applyFill="1" applyBorder="1" applyAlignment="1">
      <alignment horizontal="center" vertical="center"/>
    </xf>
    <xf numFmtId="0" fontId="0" fillId="11" borderId="0" xfId="0" applyFill="1"/>
    <xf numFmtId="0" fontId="42" fillId="11" borderId="37" xfId="0" applyFont="1" applyFill="1" applyBorder="1" applyAlignment="1">
      <alignment horizontal="right"/>
    </xf>
    <xf numFmtId="3" fontId="42" fillId="11" borderId="36" xfId="0" applyNumberFormat="1" applyFont="1" applyFill="1" applyBorder="1"/>
    <xf numFmtId="0" fontId="15" fillId="0" borderId="0" xfId="8"/>
    <xf numFmtId="0" fontId="43" fillId="0" borderId="2" xfId="8" applyFont="1" applyBorder="1" applyAlignment="1" applyProtection="1">
      <alignment horizontal="center" vertical="center" wrapText="1"/>
      <protection locked="0"/>
    </xf>
    <xf numFmtId="0" fontId="43" fillId="0" borderId="4" xfId="8" applyFont="1" applyBorder="1" applyAlignment="1" applyProtection="1">
      <alignment horizontal="center" vertical="center" wrapText="1"/>
      <protection locked="0"/>
    </xf>
    <xf numFmtId="0" fontId="43" fillId="0" borderId="5" xfId="8" applyFont="1" applyBorder="1" applyAlignment="1" applyProtection="1">
      <alignment horizontal="center" vertical="center" wrapText="1"/>
      <protection locked="0"/>
    </xf>
    <xf numFmtId="0" fontId="43" fillId="0" borderId="1" xfId="8" applyFont="1" applyBorder="1" applyAlignment="1" applyProtection="1">
      <alignment horizontal="center" vertical="center" wrapText="1"/>
      <protection locked="0"/>
    </xf>
    <xf numFmtId="182" fontId="43" fillId="0" borderId="39" xfId="8" applyNumberFormat="1" applyFont="1" applyBorder="1" applyAlignment="1" applyProtection="1">
      <alignment horizontal="center" vertical="top" wrapText="1"/>
      <protection locked="0"/>
    </xf>
    <xf numFmtId="0" fontId="43" fillId="0" borderId="38" xfId="8" applyFont="1" applyBorder="1" applyAlignment="1" applyProtection="1">
      <alignment horizontal="center" vertical="top" wrapText="1"/>
      <protection locked="0"/>
    </xf>
    <xf numFmtId="176" fontId="43" fillId="0" borderId="38" xfId="8" applyNumberFormat="1" applyFont="1" applyBorder="1" applyAlignment="1" applyProtection="1">
      <alignment horizontal="right" vertical="top" wrapText="1"/>
      <protection locked="0"/>
    </xf>
    <xf numFmtId="0" fontId="43" fillId="0" borderId="40" xfId="8" applyFont="1" applyBorder="1" applyAlignment="1" applyProtection="1">
      <alignment horizontal="center" vertical="top" wrapText="1"/>
      <protection locked="0"/>
    </xf>
    <xf numFmtId="182" fontId="43" fillId="0" borderId="41" xfId="8" applyNumberFormat="1" applyFont="1" applyBorder="1" applyAlignment="1" applyProtection="1">
      <alignment horizontal="center" vertical="top" wrapText="1"/>
      <protection locked="0"/>
    </xf>
    <xf numFmtId="0" fontId="43" fillId="0" borderId="8" xfId="8" applyFont="1" applyBorder="1" applyAlignment="1" applyProtection="1">
      <alignment horizontal="center" vertical="top" wrapText="1"/>
      <protection locked="0"/>
    </xf>
    <xf numFmtId="182" fontId="43" fillId="0" borderId="42" xfId="8" applyNumberFormat="1" applyFont="1" applyBorder="1" applyAlignment="1" applyProtection="1">
      <alignment horizontal="center" vertical="top" wrapText="1"/>
      <protection locked="0"/>
    </xf>
    <xf numFmtId="0" fontId="43" fillId="0" borderId="1" xfId="8" applyFont="1" applyBorder="1" applyAlignment="1" applyProtection="1">
      <alignment horizontal="center" vertical="top" wrapText="1"/>
      <protection locked="0"/>
    </xf>
    <xf numFmtId="176" fontId="43" fillId="0" borderId="1" xfId="8" applyNumberFormat="1" applyFont="1" applyBorder="1" applyAlignment="1" applyProtection="1">
      <alignment horizontal="right" vertical="top" wrapText="1"/>
      <protection locked="0"/>
    </xf>
    <xf numFmtId="0" fontId="43" fillId="0" borderId="43" xfId="8" applyFont="1" applyBorder="1" applyAlignment="1" applyProtection="1">
      <alignment horizontal="center" vertical="top" wrapText="1"/>
      <protection locked="0"/>
    </xf>
    <xf numFmtId="176" fontId="43" fillId="0" borderId="4" xfId="8" applyNumberFormat="1" applyFont="1" applyBorder="1" applyAlignment="1" applyProtection="1">
      <alignment horizontal="right" vertical="center" wrapText="1"/>
      <protection locked="0"/>
    </xf>
    <xf numFmtId="182" fontId="43" fillId="0" borderId="2" xfId="8" applyNumberFormat="1" applyFont="1" applyBorder="1" applyAlignment="1" applyProtection="1">
      <alignment horizontal="center" vertical="top" wrapText="1"/>
      <protection locked="0"/>
    </xf>
    <xf numFmtId="0" fontId="43" fillId="0" borderId="4" xfId="8" applyFont="1" applyBorder="1" applyAlignment="1" applyProtection="1">
      <alignment horizontal="center" vertical="top" wrapText="1"/>
      <protection locked="0"/>
    </xf>
    <xf numFmtId="176" fontId="43" fillId="0" borderId="4" xfId="8" applyNumberFormat="1" applyFont="1" applyBorder="1" applyAlignment="1" applyProtection="1">
      <alignment horizontal="right" vertical="top" wrapText="1"/>
      <protection locked="0"/>
    </xf>
    <xf numFmtId="0" fontId="43" fillId="0" borderId="5" xfId="8" applyFont="1" applyBorder="1" applyAlignment="1" applyProtection="1">
      <alignment horizontal="center" vertical="top" wrapText="1"/>
      <protection locked="0"/>
    </xf>
    <xf numFmtId="0" fontId="43" fillId="0" borderId="0" xfId="8" applyFont="1" applyBorder="1" applyAlignment="1" applyProtection="1">
      <alignment horizontal="left" vertical="center" wrapText="1"/>
      <protection locked="0"/>
    </xf>
    <xf numFmtId="181" fontId="43" fillId="0" borderId="0" xfId="8" applyNumberFormat="1" applyFont="1" applyBorder="1" applyAlignment="1" applyProtection="1">
      <alignment horizontal="left" vertical="center" wrapText="1"/>
      <protection locked="0"/>
    </xf>
    <xf numFmtId="0" fontId="43" fillId="0" borderId="0" xfId="8" applyFont="1" applyBorder="1" applyAlignment="1" applyProtection="1">
      <alignment horizontal="center" vertical="top" wrapText="1"/>
      <protection locked="0"/>
    </xf>
    <xf numFmtId="176" fontId="43" fillId="0" borderId="0" xfId="8" applyNumberFormat="1" applyFont="1" applyBorder="1" applyAlignment="1" applyProtection="1">
      <alignment horizontal="right" vertical="top" wrapText="1"/>
      <protection locked="0"/>
    </xf>
    <xf numFmtId="182" fontId="43" fillId="11" borderId="42" xfId="8" applyNumberFormat="1" applyFont="1" applyFill="1" applyBorder="1" applyAlignment="1" applyProtection="1">
      <alignment horizontal="center" vertical="top" wrapText="1"/>
      <protection locked="0"/>
    </xf>
    <xf numFmtId="176" fontId="43" fillId="11" borderId="1" xfId="8" applyNumberFormat="1" applyFont="1" applyFill="1" applyBorder="1" applyAlignment="1" applyProtection="1">
      <alignment horizontal="right" vertical="top" wrapText="1"/>
      <protection locked="0"/>
    </xf>
    <xf numFmtId="0" fontId="43" fillId="11" borderId="1" xfId="8" applyFont="1" applyFill="1" applyBorder="1" applyAlignment="1" applyProtection="1">
      <alignment horizontal="center" vertical="top" wrapText="1"/>
      <protection locked="0"/>
    </xf>
    <xf numFmtId="0" fontId="43" fillId="11" borderId="43" xfId="8" applyFont="1" applyFill="1" applyBorder="1" applyAlignment="1" applyProtection="1">
      <alignment horizontal="center" vertical="top" wrapText="1"/>
      <protection locked="0"/>
    </xf>
    <xf numFmtId="182" fontId="43" fillId="11" borderId="41" xfId="8" applyNumberFormat="1" applyFont="1" applyFill="1" applyBorder="1" applyAlignment="1" applyProtection="1">
      <alignment horizontal="center" vertical="top" wrapText="1"/>
      <protection locked="0"/>
    </xf>
    <xf numFmtId="176" fontId="43" fillId="11" borderId="0" xfId="8" applyNumberFormat="1" applyFont="1" applyFill="1" applyBorder="1" applyAlignment="1" applyProtection="1">
      <alignment horizontal="right" vertical="top" wrapText="1"/>
      <protection locked="0"/>
    </xf>
    <xf numFmtId="0" fontId="43" fillId="11" borderId="0" xfId="8" applyFont="1" applyFill="1" applyBorder="1" applyAlignment="1" applyProtection="1">
      <alignment horizontal="center" vertical="top" wrapText="1"/>
      <protection locked="0"/>
    </xf>
    <xf numFmtId="0" fontId="43" fillId="11" borderId="8" xfId="8" applyFont="1" applyFill="1" applyBorder="1" applyAlignment="1" applyProtection="1">
      <alignment horizontal="center" vertical="top" wrapText="1"/>
      <protection locked="0"/>
    </xf>
    <xf numFmtId="0" fontId="45" fillId="0" borderId="0" xfId="0" applyFont="1" applyAlignment="1">
      <alignment vertical="center"/>
    </xf>
    <xf numFmtId="3" fontId="0" fillId="0" borderId="0" xfId="0" applyNumberFormat="1" applyAlignment="1">
      <alignment vertical="center"/>
    </xf>
    <xf numFmtId="176" fontId="10" fillId="6" borderId="3" xfId="0" applyNumberFormat="1" applyFont="1" applyFill="1" applyBorder="1" applyAlignment="1" applyProtection="1">
      <alignment vertical="center" wrapText="1"/>
      <protection locked="0"/>
    </xf>
    <xf numFmtId="0" fontId="12" fillId="2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3" fontId="0" fillId="0" borderId="0" xfId="0" applyNumberFormat="1" applyFont="1" applyAlignment="1">
      <alignment vertical="center"/>
    </xf>
    <xf numFmtId="0" fontId="0" fillId="0" borderId="0" xfId="0" applyFont="1"/>
    <xf numFmtId="42" fontId="0" fillId="0" borderId="0" xfId="0" applyNumberFormat="1" applyFont="1" applyAlignment="1">
      <alignment vertical="center"/>
    </xf>
    <xf numFmtId="0" fontId="12" fillId="2" borderId="3" xfId="0" applyFont="1" applyFill="1" applyBorder="1" applyAlignment="1">
      <alignment horizontal="center" vertical="center"/>
    </xf>
    <xf numFmtId="176" fontId="0" fillId="0" borderId="0" xfId="0" applyNumberFormat="1"/>
    <xf numFmtId="176" fontId="13" fillId="0" borderId="3" xfId="0" applyNumberFormat="1" applyFont="1" applyFill="1" applyBorder="1" applyAlignment="1" applyProtection="1">
      <alignment horizontal="right" vertical="center" wrapText="1"/>
      <protection locked="0"/>
    </xf>
    <xf numFmtId="176" fontId="12" fillId="0" borderId="3" xfId="0" applyNumberFormat="1" applyFont="1" applyFill="1" applyBorder="1" applyAlignment="1" applyProtection="1">
      <alignment vertical="center" wrapText="1"/>
      <protection locked="0"/>
    </xf>
    <xf numFmtId="176" fontId="13" fillId="14" borderId="3" xfId="0" applyNumberFormat="1" applyFont="1" applyFill="1" applyBorder="1" applyAlignment="1" applyProtection="1">
      <alignment horizontal="right" vertical="center" wrapText="1"/>
      <protection locked="0"/>
    </xf>
    <xf numFmtId="176" fontId="12" fillId="14" borderId="3" xfId="0" applyNumberFormat="1" applyFont="1" applyFill="1" applyBorder="1" applyAlignment="1" applyProtection="1">
      <alignment horizontal="right" vertical="center" wrapText="1"/>
      <protection locked="0"/>
    </xf>
    <xf numFmtId="176" fontId="12" fillId="14" borderId="3" xfId="0" applyNumberFormat="1" applyFont="1" applyFill="1" applyBorder="1" applyAlignment="1" applyProtection="1">
      <alignment vertical="center" wrapText="1"/>
      <protection locked="0"/>
    </xf>
    <xf numFmtId="176" fontId="13" fillId="14" borderId="3" xfId="0" applyNumberFormat="1" applyFont="1" applyFill="1" applyBorder="1" applyAlignment="1" applyProtection="1">
      <alignment vertical="center" wrapText="1"/>
      <protection locked="0"/>
    </xf>
    <xf numFmtId="0" fontId="47" fillId="0" borderId="0" xfId="0" applyFont="1"/>
    <xf numFmtId="0" fontId="42" fillId="0" borderId="0" xfId="0" applyFont="1" applyBorder="1" applyAlignment="1">
      <alignment vertical="center"/>
    </xf>
    <xf numFmtId="0" fontId="48" fillId="0" borderId="0" xfId="0" applyFont="1" applyBorder="1" applyAlignment="1">
      <alignment horizontal="center" vertical="center"/>
    </xf>
    <xf numFmtId="0" fontId="49" fillId="8" borderId="10" xfId="0" applyFont="1" applyFill="1" applyBorder="1" applyAlignment="1">
      <alignment horizontal="center" vertical="center"/>
    </xf>
    <xf numFmtId="0" fontId="49" fillId="14" borderId="10" xfId="0" applyFont="1" applyFill="1" applyBorder="1" applyAlignment="1">
      <alignment horizontal="center" vertical="center"/>
    </xf>
    <xf numFmtId="0" fontId="49" fillId="9" borderId="11" xfId="0" applyFont="1" applyFill="1" applyBorder="1" applyAlignment="1">
      <alignment horizontal="center" vertical="center"/>
    </xf>
    <xf numFmtId="0" fontId="49" fillId="8" borderId="3" xfId="0" applyFont="1" applyFill="1" applyBorder="1" applyAlignment="1">
      <alignment horizontal="center" vertical="center" wrapText="1"/>
    </xf>
    <xf numFmtId="0" fontId="49" fillId="14" borderId="3" xfId="0" applyFont="1" applyFill="1" applyBorder="1" applyAlignment="1">
      <alignment horizontal="center" vertical="center" wrapText="1"/>
    </xf>
    <xf numFmtId="0" fontId="49" fillId="9" borderId="13" xfId="0" applyFont="1" applyFill="1" applyBorder="1" applyAlignment="1">
      <alignment horizontal="center" vertical="center" wrapText="1"/>
    </xf>
    <xf numFmtId="177" fontId="53" fillId="0" borderId="31" xfId="10" applyFont="1" applyBorder="1" applyAlignment="1">
      <alignment horizontal="left" vertical="center"/>
    </xf>
    <xf numFmtId="183" fontId="55" fillId="0" borderId="3" xfId="10" applyNumberFormat="1" applyFont="1" applyFill="1" applyBorder="1" applyAlignment="1">
      <alignment horizontal="right" vertical="center"/>
    </xf>
    <xf numFmtId="183" fontId="55" fillId="0" borderId="13" xfId="10" applyNumberFormat="1" applyFont="1" applyFill="1" applyBorder="1" applyAlignment="1">
      <alignment horizontal="right" vertical="center"/>
    </xf>
    <xf numFmtId="183" fontId="55" fillId="0" borderId="49" xfId="10" applyNumberFormat="1" applyFont="1" applyFill="1" applyBorder="1" applyAlignment="1">
      <alignment horizontal="right" vertical="center"/>
    </xf>
    <xf numFmtId="176" fontId="56" fillId="0" borderId="50" xfId="0" applyNumberFormat="1" applyFont="1" applyFill="1" applyBorder="1"/>
    <xf numFmtId="0" fontId="57" fillId="0" borderId="9" xfId="0" applyFont="1" applyBorder="1" applyAlignment="1">
      <alignment horizontal="center"/>
    </xf>
    <xf numFmtId="0" fontId="58" fillId="0" borderId="10" xfId="0" applyFont="1" applyBorder="1" applyAlignment="1">
      <alignment horizontal="center"/>
    </xf>
    <xf numFmtId="0" fontId="58" fillId="0" borderId="11" xfId="0" applyFont="1" applyBorder="1" applyAlignment="1">
      <alignment horizontal="center"/>
    </xf>
    <xf numFmtId="0" fontId="59" fillId="0" borderId="12" xfId="0" applyFont="1" applyBorder="1" applyAlignment="1">
      <alignment horizontal="center"/>
    </xf>
    <xf numFmtId="0" fontId="59" fillId="0" borderId="3" xfId="0" applyFont="1" applyBorder="1" applyAlignment="1">
      <alignment horizontal="center"/>
    </xf>
    <xf numFmtId="42" fontId="59" fillId="0" borderId="3" xfId="10" applyNumberFormat="1" applyFont="1" applyBorder="1" applyAlignment="1">
      <alignment horizontal="center"/>
    </xf>
    <xf numFmtId="42" fontId="59" fillId="0" borderId="13" xfId="10" applyNumberFormat="1" applyFont="1" applyBorder="1" applyAlignment="1">
      <alignment horizontal="center"/>
    </xf>
    <xf numFmtId="177" fontId="53" fillId="0" borderId="31" xfId="10" applyFont="1" applyBorder="1" applyAlignment="1">
      <alignment horizontal="left" vertical="center" wrapText="1"/>
    </xf>
    <xf numFmtId="183" fontId="55" fillId="0" borderId="3" xfId="10" applyNumberFormat="1" applyFont="1" applyBorder="1" applyAlignment="1">
      <alignment horizontal="right" vertical="center"/>
    </xf>
    <xf numFmtId="183" fontId="55" fillId="15" borderId="3" xfId="10" applyNumberFormat="1" applyFont="1" applyFill="1" applyBorder="1" applyAlignment="1">
      <alignment horizontal="right" vertical="center"/>
    </xf>
    <xf numFmtId="183" fontId="55" fillId="0" borderId="13" xfId="10" applyNumberFormat="1" applyFont="1" applyBorder="1" applyAlignment="1">
      <alignment horizontal="right" vertical="center"/>
    </xf>
    <xf numFmtId="183" fontId="55" fillId="0" borderId="49" xfId="10" applyNumberFormat="1" applyFont="1" applyBorder="1" applyAlignment="1">
      <alignment horizontal="right" vertical="center"/>
    </xf>
    <xf numFmtId="176" fontId="56" fillId="7" borderId="50" xfId="0" applyNumberFormat="1" applyFont="1" applyFill="1" applyBorder="1"/>
    <xf numFmtId="177" fontId="55" fillId="0" borderId="31" xfId="10" applyFont="1" applyBorder="1" applyAlignment="1">
      <alignment horizontal="left" vertical="center" wrapText="1"/>
    </xf>
    <xf numFmtId="9" fontId="55" fillId="0" borderId="3" xfId="11" applyNumberFormat="1" applyFont="1" applyFill="1" applyBorder="1" applyAlignment="1">
      <alignment horizontal="right" vertical="center"/>
    </xf>
    <xf numFmtId="9" fontId="55" fillId="0" borderId="13" xfId="11" applyNumberFormat="1" applyFont="1" applyFill="1" applyBorder="1" applyAlignment="1">
      <alignment horizontal="right" vertical="center"/>
    </xf>
    <xf numFmtId="9" fontId="55" fillId="0" borderId="49" xfId="11" applyNumberFormat="1" applyFont="1" applyFill="1" applyBorder="1" applyAlignment="1">
      <alignment horizontal="right" vertical="center"/>
    </xf>
    <xf numFmtId="9" fontId="56" fillId="0" borderId="50" xfId="0" applyNumberFormat="1" applyFont="1" applyFill="1" applyBorder="1"/>
    <xf numFmtId="0" fontId="59" fillId="0" borderId="14" xfId="0" applyFont="1" applyBorder="1" applyAlignment="1">
      <alignment horizontal="center"/>
    </xf>
    <xf numFmtId="0" fontId="59" fillId="0" borderId="15" xfId="0" applyFont="1" applyBorder="1" applyAlignment="1">
      <alignment horizontal="center"/>
    </xf>
    <xf numFmtId="42" fontId="59" fillId="0" borderId="15" xfId="10" applyNumberFormat="1" applyFont="1" applyBorder="1" applyAlignment="1">
      <alignment horizontal="center"/>
    </xf>
    <xf numFmtId="42" fontId="59" fillId="0" borderId="16" xfId="10" applyNumberFormat="1" applyFont="1" applyBorder="1" applyAlignment="1">
      <alignment horizontal="center"/>
    </xf>
    <xf numFmtId="177" fontId="55" fillId="0" borderId="31" xfId="10" applyFont="1" applyBorder="1" applyAlignment="1">
      <alignment horizontal="left" vertical="center"/>
    </xf>
    <xf numFmtId="183" fontId="55" fillId="15" borderId="13" xfId="10" applyNumberFormat="1" applyFont="1" applyFill="1" applyBorder="1" applyAlignment="1">
      <alignment horizontal="right" vertical="center"/>
    </xf>
    <xf numFmtId="183" fontId="55" fillId="15" borderId="49" xfId="10" applyNumberFormat="1" applyFont="1" applyFill="1" applyBorder="1" applyAlignment="1">
      <alignment horizontal="right" vertical="center"/>
    </xf>
    <xf numFmtId="42" fontId="0" fillId="0" borderId="0" xfId="0" applyNumberFormat="1"/>
    <xf numFmtId="9" fontId="55" fillId="15" borderId="3" xfId="10" applyNumberFormat="1" applyFont="1" applyFill="1" applyBorder="1" applyAlignment="1">
      <alignment horizontal="right" vertical="center"/>
    </xf>
    <xf numFmtId="9" fontId="55" fillId="15" borderId="13" xfId="10" applyNumberFormat="1" applyFont="1" applyFill="1" applyBorder="1" applyAlignment="1">
      <alignment horizontal="right" vertical="center"/>
    </xf>
    <xf numFmtId="9" fontId="55" fillId="15" borderId="49" xfId="10" applyNumberFormat="1" applyFont="1" applyFill="1" applyBorder="1" applyAlignment="1">
      <alignment horizontal="right" vertical="center"/>
    </xf>
    <xf numFmtId="184" fontId="56" fillId="0" borderId="50" xfId="0" applyNumberFormat="1" applyFont="1" applyFill="1" applyBorder="1"/>
    <xf numFmtId="0" fontId="60" fillId="0" borderId="0" xfId="0" applyFont="1"/>
    <xf numFmtId="176" fontId="55" fillId="15" borderId="3" xfId="10" applyNumberFormat="1" applyFont="1" applyFill="1" applyBorder="1" applyAlignment="1">
      <alignment horizontal="right" vertical="center"/>
    </xf>
    <xf numFmtId="176" fontId="55" fillId="15" borderId="13" xfId="10" applyNumberFormat="1" applyFont="1" applyFill="1" applyBorder="1" applyAlignment="1">
      <alignment horizontal="right" vertical="center"/>
    </xf>
    <xf numFmtId="176" fontId="55" fillId="15" borderId="49" xfId="10" applyNumberFormat="1" applyFont="1" applyFill="1" applyBorder="1" applyAlignment="1">
      <alignment horizontal="right" vertical="center"/>
    </xf>
    <xf numFmtId="0" fontId="61" fillId="0" borderId="0" xfId="0" applyFont="1"/>
    <xf numFmtId="177" fontId="55" fillId="0" borderId="31" xfId="10" applyFont="1" applyFill="1" applyBorder="1" applyAlignment="1">
      <alignment horizontal="right" vertical="center"/>
    </xf>
    <xf numFmtId="0" fontId="0" fillId="0" borderId="0" xfId="0" applyFill="1"/>
    <xf numFmtId="176" fontId="55" fillId="0" borderId="3" xfId="11" applyNumberFormat="1" applyFont="1" applyFill="1" applyBorder="1" applyAlignment="1">
      <alignment horizontal="right" vertical="center"/>
    </xf>
    <xf numFmtId="176" fontId="55" fillId="0" borderId="13" xfId="11" applyNumberFormat="1" applyFont="1" applyFill="1" applyBorder="1" applyAlignment="1">
      <alignment horizontal="right" vertical="center"/>
    </xf>
    <xf numFmtId="176" fontId="55" fillId="0" borderId="49" xfId="11" applyNumberFormat="1" applyFont="1" applyFill="1" applyBorder="1" applyAlignment="1">
      <alignment horizontal="right" vertical="center"/>
    </xf>
    <xf numFmtId="183" fontId="56" fillId="0" borderId="50" xfId="10" applyNumberFormat="1" applyFont="1" applyFill="1" applyBorder="1"/>
    <xf numFmtId="0" fontId="62" fillId="0" borderId="31" xfId="0" applyFont="1" applyBorder="1" applyAlignment="1">
      <alignment horizontal="left" vertical="center"/>
    </xf>
    <xf numFmtId="176" fontId="56" fillId="0" borderId="52" xfId="0" applyNumberFormat="1" applyFont="1" applyFill="1" applyBorder="1"/>
    <xf numFmtId="177" fontId="64" fillId="0" borderId="32" xfId="10" applyFont="1" applyFill="1" applyBorder="1" applyAlignment="1">
      <alignment horizontal="left" vertical="center"/>
    </xf>
    <xf numFmtId="183" fontId="65" fillId="8" borderId="15" xfId="10" applyNumberFormat="1" applyFont="1" applyFill="1" applyBorder="1" applyAlignment="1">
      <alignment horizontal="right" vertical="center"/>
    </xf>
    <xf numFmtId="183" fontId="65" fillId="14" borderId="15" xfId="10" applyNumberFormat="1" applyFont="1" applyFill="1" applyBorder="1" applyAlignment="1">
      <alignment horizontal="right" vertical="center"/>
    </xf>
    <xf numFmtId="183" fontId="65" fillId="9" borderId="16" xfId="10" applyNumberFormat="1" applyFont="1" applyFill="1" applyBorder="1" applyAlignment="1">
      <alignment horizontal="right" vertical="center"/>
    </xf>
    <xf numFmtId="183" fontId="65" fillId="6" borderId="53" xfId="10" applyNumberFormat="1" applyFont="1" applyFill="1" applyBorder="1" applyAlignment="1">
      <alignment horizontal="right" vertical="center"/>
    </xf>
    <xf numFmtId="0" fontId="55" fillId="0" borderId="0" xfId="0" applyFont="1" applyAlignment="1">
      <alignment horizontal="left"/>
    </xf>
    <xf numFmtId="176" fontId="66" fillId="10" borderId="54" xfId="0" applyNumberFormat="1" applyFont="1" applyFill="1" applyBorder="1"/>
    <xf numFmtId="0" fontId="67" fillId="0" borderId="0" xfId="0" applyFont="1"/>
    <xf numFmtId="176" fontId="68" fillId="6" borderId="52" xfId="0" applyNumberFormat="1" applyFont="1" applyFill="1" applyBorder="1"/>
    <xf numFmtId="177" fontId="42" fillId="0" borderId="0" xfId="10" applyFont="1" applyFill="1" applyBorder="1" applyAlignment="1">
      <alignment horizontal="left" vertical="center"/>
    </xf>
    <xf numFmtId="183" fontId="65" fillId="0" borderId="0" xfId="10" applyNumberFormat="1" applyFont="1" applyFill="1" applyBorder="1" applyAlignment="1">
      <alignment horizontal="right" vertical="center"/>
    </xf>
    <xf numFmtId="183" fontId="55" fillId="0" borderId="55" xfId="10" applyNumberFormat="1" applyFont="1" applyFill="1" applyBorder="1" applyAlignment="1">
      <alignment horizontal="right" vertical="center"/>
    </xf>
    <xf numFmtId="183" fontId="55" fillId="0" borderId="34" xfId="10" applyNumberFormat="1" applyFont="1" applyFill="1" applyBorder="1" applyAlignment="1">
      <alignment horizontal="right" vertical="center"/>
    </xf>
    <xf numFmtId="176" fontId="69" fillId="0" borderId="0" xfId="0" applyNumberFormat="1" applyFont="1" applyFill="1" applyBorder="1" applyAlignment="1">
      <alignment horizontal="right"/>
    </xf>
    <xf numFmtId="0" fontId="67" fillId="0" borderId="0" xfId="0" applyFont="1" applyFill="1"/>
    <xf numFmtId="0" fontId="53" fillId="0" borderId="0" xfId="0" applyFont="1" applyAlignment="1">
      <alignment vertical="center"/>
    </xf>
    <xf numFmtId="41" fontId="53" fillId="0" borderId="0" xfId="0" applyNumberFormat="1" applyFont="1" applyAlignment="1">
      <alignment vertical="center"/>
    </xf>
    <xf numFmtId="41" fontId="49" fillId="10" borderId="56" xfId="0" applyNumberFormat="1" applyFont="1" applyFill="1" applyBorder="1" applyAlignment="1">
      <alignment vertical="center"/>
    </xf>
    <xf numFmtId="41" fontId="49" fillId="10" borderId="56" xfId="0" applyNumberFormat="1" applyFont="1" applyFill="1" applyBorder="1" applyAlignment="1">
      <alignment horizontal="left" vertical="center"/>
    </xf>
    <xf numFmtId="176" fontId="70" fillId="0" borderId="0" xfId="0" applyNumberFormat="1" applyFont="1"/>
    <xf numFmtId="0" fontId="49" fillId="0" borderId="0" xfId="0" applyFont="1" applyBorder="1" applyAlignment="1">
      <alignment vertical="center"/>
    </xf>
    <xf numFmtId="0" fontId="60" fillId="6" borderId="40" xfId="0" applyFont="1" applyFill="1" applyBorder="1" applyAlignment="1">
      <alignment horizontal="center" vertical="center"/>
    </xf>
    <xf numFmtId="0" fontId="60" fillId="6" borderId="62" xfId="0" applyFont="1" applyFill="1" applyBorder="1" applyAlignment="1">
      <alignment horizontal="center" vertical="center"/>
    </xf>
    <xf numFmtId="0" fontId="71" fillId="0" borderId="0" xfId="0" applyFont="1" applyAlignment="1">
      <alignment horizontal="center" vertical="center"/>
    </xf>
    <xf numFmtId="177" fontId="49" fillId="8" borderId="57" xfId="10" applyFont="1" applyFill="1" applyBorder="1" applyAlignment="1">
      <alignment horizontal="left" vertical="center"/>
    </xf>
    <xf numFmtId="183" fontId="72" fillId="8" borderId="58" xfId="10" applyNumberFormat="1" applyFont="1" applyFill="1" applyBorder="1" applyAlignment="1">
      <alignment vertical="center"/>
    </xf>
    <xf numFmtId="185" fontId="72" fillId="8" borderId="63" xfId="10" applyNumberFormat="1" applyFont="1" applyFill="1" applyBorder="1" applyAlignment="1">
      <alignment horizontal="right" vertical="center"/>
    </xf>
    <xf numFmtId="185" fontId="72" fillId="8" borderId="11" xfId="10" applyNumberFormat="1" applyFont="1" applyFill="1" applyBorder="1" applyAlignment="1">
      <alignment horizontal="right" vertical="center"/>
    </xf>
    <xf numFmtId="177" fontId="49" fillId="14" borderId="2" xfId="10" applyFont="1" applyFill="1" applyBorder="1" applyAlignment="1">
      <alignment horizontal="left" vertical="center"/>
    </xf>
    <xf numFmtId="183" fontId="72" fillId="14" borderId="64" xfId="10" applyNumberFormat="1" applyFont="1" applyFill="1" applyBorder="1" applyAlignment="1">
      <alignment vertical="center"/>
    </xf>
    <xf numFmtId="185" fontId="72" fillId="14" borderId="5" xfId="10" applyNumberFormat="1" applyFont="1" applyFill="1" applyBorder="1" applyAlignment="1">
      <alignment horizontal="right" vertical="center"/>
    </xf>
    <xf numFmtId="185" fontId="72" fillId="14" borderId="13" xfId="10" applyNumberFormat="1" applyFont="1" applyFill="1" applyBorder="1" applyAlignment="1">
      <alignment horizontal="right" vertical="center"/>
    </xf>
    <xf numFmtId="177" fontId="49" fillId="9" borderId="39" xfId="10" applyFont="1" applyFill="1" applyBorder="1" applyAlignment="1">
      <alignment horizontal="left" vertical="center"/>
    </xf>
    <xf numFmtId="183" fontId="72" fillId="9" borderId="61" xfId="10" applyNumberFormat="1" applyFont="1" applyFill="1" applyBorder="1" applyAlignment="1">
      <alignment vertical="center"/>
    </xf>
    <xf numFmtId="185" fontId="72" fillId="9" borderId="5" xfId="10" applyNumberFormat="1" applyFont="1" applyFill="1" applyBorder="1" applyAlignment="1">
      <alignment horizontal="right" vertical="center"/>
    </xf>
    <xf numFmtId="185" fontId="72" fillId="9" borderId="13" xfId="10" applyNumberFormat="1" applyFont="1" applyFill="1" applyBorder="1" applyAlignment="1">
      <alignment horizontal="right" vertical="center"/>
    </xf>
    <xf numFmtId="177" fontId="49" fillId="6" borderId="26" xfId="10" applyFont="1" applyFill="1" applyBorder="1" applyAlignment="1">
      <alignment horizontal="right" vertical="center"/>
    </xf>
    <xf numFmtId="183" fontId="73" fillId="6" borderId="65" xfId="10" applyNumberFormat="1" applyFont="1" applyFill="1" applyBorder="1" applyAlignment="1">
      <alignment vertical="center"/>
    </xf>
    <xf numFmtId="185" fontId="74" fillId="0" borderId="33" xfId="0" applyNumberFormat="1" applyFont="1" applyFill="1" applyBorder="1"/>
    <xf numFmtId="185" fontId="74" fillId="0" borderId="16" xfId="0" applyNumberFormat="1" applyFont="1" applyFill="1" applyBorder="1"/>
    <xf numFmtId="183" fontId="71" fillId="0" borderId="0" xfId="0" applyNumberFormat="1" applyFont="1"/>
    <xf numFmtId="0" fontId="49" fillId="10" borderId="39" xfId="0" applyFont="1" applyFill="1" applyBorder="1" applyAlignment="1">
      <alignment horizontal="left" vertical="center"/>
    </xf>
    <xf numFmtId="183" fontId="72" fillId="10" borderId="61" xfId="10" applyNumberFormat="1" applyFont="1" applyFill="1" applyBorder="1" applyAlignment="1">
      <alignment horizontal="right" vertical="center"/>
    </xf>
    <xf numFmtId="185" fontId="72" fillId="10" borderId="5" xfId="0" applyNumberFormat="1" applyFont="1" applyFill="1" applyBorder="1" applyAlignment="1">
      <alignment horizontal="right"/>
    </xf>
    <xf numFmtId="185" fontId="72" fillId="10" borderId="13" xfId="0" applyNumberFormat="1" applyFont="1" applyFill="1" applyBorder="1" applyAlignment="1">
      <alignment horizontal="right"/>
    </xf>
    <xf numFmtId="177" fontId="49" fillId="10" borderId="26" xfId="10" applyFont="1" applyFill="1" applyBorder="1" applyAlignment="1">
      <alignment horizontal="right" vertical="center"/>
    </xf>
    <xf numFmtId="183" fontId="74" fillId="10" borderId="65" xfId="10" applyNumberFormat="1" applyFont="1" applyFill="1" applyBorder="1" applyAlignment="1">
      <alignment vertical="center"/>
    </xf>
    <xf numFmtId="185" fontId="74" fillId="10" borderId="33" xfId="0" applyNumberFormat="1" applyFont="1" applyFill="1" applyBorder="1" applyAlignment="1"/>
    <xf numFmtId="185" fontId="74" fillId="10" borderId="16" xfId="0" applyNumberFormat="1" applyFont="1" applyFill="1" applyBorder="1" applyAlignment="1"/>
    <xf numFmtId="183" fontId="67" fillId="0" borderId="0" xfId="0" applyNumberFormat="1" applyFont="1"/>
    <xf numFmtId="185" fontId="67" fillId="0" borderId="0" xfId="0" applyNumberFormat="1" applyFont="1"/>
    <xf numFmtId="0" fontId="60" fillId="6" borderId="5" xfId="0" applyFont="1" applyFill="1" applyBorder="1" applyAlignment="1">
      <alignment horizontal="center" vertical="center"/>
    </xf>
    <xf numFmtId="0" fontId="60" fillId="6" borderId="13" xfId="0" applyFont="1" applyFill="1" applyBorder="1" applyAlignment="1">
      <alignment horizontal="center" vertical="center"/>
    </xf>
    <xf numFmtId="0" fontId="42" fillId="0" borderId="12" xfId="0" applyFont="1" applyFill="1" applyBorder="1" applyAlignment="1">
      <alignment horizontal="center" vertical="center"/>
    </xf>
    <xf numFmtId="176" fontId="49" fillId="0" borderId="64" xfId="0" applyNumberFormat="1" applyFont="1" applyFill="1" applyBorder="1" applyAlignment="1">
      <alignment horizontal="right" vertical="center"/>
    </xf>
    <xf numFmtId="183" fontId="75" fillId="0" borderId="5" xfId="10" applyNumberFormat="1" applyFont="1" applyFill="1" applyBorder="1" applyAlignment="1">
      <alignment horizontal="right" vertical="center"/>
    </xf>
    <xf numFmtId="183" fontId="75" fillId="0" borderId="13" xfId="10" applyNumberFormat="1" applyFont="1" applyFill="1" applyBorder="1" applyAlignment="1">
      <alignment horizontal="right" vertical="center"/>
    </xf>
    <xf numFmtId="185" fontId="0" fillId="0" borderId="0" xfId="0" applyNumberFormat="1"/>
    <xf numFmtId="0" fontId="78" fillId="0" borderId="0" xfId="0" applyFont="1" applyAlignment="1">
      <alignment vertical="center"/>
    </xf>
    <xf numFmtId="0" fontId="75" fillId="0" borderId="0" xfId="0" applyFont="1" applyAlignment="1">
      <alignment vertical="center"/>
    </xf>
    <xf numFmtId="183" fontId="78" fillId="0" borderId="0" xfId="0" applyNumberFormat="1" applyFont="1" applyAlignment="1">
      <alignment vertical="center"/>
    </xf>
    <xf numFmtId="0" fontId="78" fillId="0" borderId="75" xfId="0" applyFont="1" applyBorder="1" applyAlignment="1">
      <alignment vertical="center"/>
    </xf>
    <xf numFmtId="183" fontId="78" fillId="0" borderId="55" xfId="0" applyNumberFormat="1" applyFont="1" applyBorder="1" applyAlignment="1">
      <alignment vertical="center"/>
    </xf>
    <xf numFmtId="0" fontId="80" fillId="0" borderId="55" xfId="0" applyFont="1" applyBorder="1" applyAlignment="1">
      <alignment vertical="center"/>
    </xf>
    <xf numFmtId="41" fontId="78" fillId="0" borderId="76" xfId="0" applyNumberFormat="1" applyFont="1" applyBorder="1" applyAlignment="1">
      <alignment vertical="center"/>
    </xf>
    <xf numFmtId="0" fontId="78" fillId="0" borderId="29" xfId="0" applyFont="1" applyBorder="1" applyAlignment="1">
      <alignment vertical="center"/>
    </xf>
    <xf numFmtId="183" fontId="78" fillId="0" borderId="0" xfId="0" applyNumberFormat="1" applyFont="1" applyBorder="1" applyAlignment="1">
      <alignment vertical="center"/>
    </xf>
    <xf numFmtId="0" fontId="80" fillId="0" borderId="0" xfId="0" applyFont="1" applyBorder="1" applyAlignment="1">
      <alignment vertical="center"/>
    </xf>
    <xf numFmtId="186" fontId="78" fillId="0" borderId="30" xfId="0" applyNumberFormat="1" applyFont="1" applyBorder="1" applyAlignment="1">
      <alignment vertical="center"/>
    </xf>
    <xf numFmtId="0" fontId="78" fillId="0" borderId="0" xfId="0" applyFont="1" applyBorder="1" applyAlignment="1">
      <alignment vertical="center"/>
    </xf>
    <xf numFmtId="0" fontId="78" fillId="0" borderId="30" xfId="0" applyFont="1" applyBorder="1" applyAlignment="1">
      <alignment vertical="center"/>
    </xf>
    <xf numFmtId="0" fontId="78" fillId="0" borderId="35" xfId="0" applyFont="1" applyBorder="1" applyAlignment="1">
      <alignment vertical="center"/>
    </xf>
    <xf numFmtId="183" fontId="78" fillId="0" borderId="25" xfId="0" applyNumberFormat="1" applyFont="1" applyBorder="1" applyAlignment="1">
      <alignment vertical="center"/>
    </xf>
    <xf numFmtId="0" fontId="78" fillId="0" borderId="25" xfId="0" applyFont="1" applyBorder="1" applyAlignment="1">
      <alignment vertical="center"/>
    </xf>
    <xf numFmtId="0" fontId="78" fillId="0" borderId="34" xfId="0" applyFont="1" applyBorder="1" applyAlignment="1">
      <alignment vertical="center"/>
    </xf>
    <xf numFmtId="0" fontId="80" fillId="0" borderId="25" xfId="0" applyFont="1" applyBorder="1" applyAlignment="1">
      <alignment vertical="center"/>
    </xf>
    <xf numFmtId="183" fontId="78" fillId="0" borderId="34" xfId="0" applyNumberFormat="1" applyFont="1" applyBorder="1" applyAlignment="1">
      <alignment vertical="center"/>
    </xf>
    <xf numFmtId="0" fontId="80" fillId="0" borderId="26" xfId="0" applyFont="1" applyBorder="1" applyAlignment="1">
      <alignment vertical="center"/>
    </xf>
    <xf numFmtId="183" fontId="78" fillId="0" borderId="27" xfId="0" applyNumberFormat="1" applyFont="1" applyBorder="1" applyAlignment="1">
      <alignment vertical="center"/>
    </xf>
    <xf numFmtId="0" fontId="80" fillId="0" borderId="27" xfId="0" applyFont="1" applyBorder="1" applyAlignment="1">
      <alignment vertical="center"/>
    </xf>
    <xf numFmtId="41" fontId="78" fillId="0" borderId="28" xfId="0" applyNumberFormat="1" applyFont="1" applyBorder="1" applyAlignment="1">
      <alignment vertical="center"/>
    </xf>
    <xf numFmtId="0" fontId="81" fillId="0" borderId="0" xfId="0" applyFont="1" applyAlignment="1">
      <alignment vertical="center"/>
    </xf>
    <xf numFmtId="0" fontId="81" fillId="7" borderId="9" xfId="0" applyFont="1" applyFill="1" applyBorder="1" applyAlignment="1">
      <alignment horizontal="center" vertical="center"/>
    </xf>
    <xf numFmtId="0" fontId="75" fillId="7" borderId="10" xfId="0" applyFont="1" applyFill="1" applyBorder="1" applyAlignment="1">
      <alignment horizontal="right" vertical="center"/>
    </xf>
    <xf numFmtId="0" fontId="75" fillId="7" borderId="11" xfId="0" applyFont="1" applyFill="1" applyBorder="1" applyAlignment="1">
      <alignment horizontal="right" vertical="center"/>
    </xf>
    <xf numFmtId="0" fontId="41" fillId="16" borderId="12" xfId="0" applyFont="1" applyFill="1" applyBorder="1" applyAlignment="1">
      <alignment horizontal="center" vertical="center"/>
    </xf>
    <xf numFmtId="0" fontId="49" fillId="16" borderId="3" xfId="0" applyFont="1" applyFill="1" applyBorder="1" applyAlignment="1">
      <alignment horizontal="center" vertical="center" wrapText="1"/>
    </xf>
    <xf numFmtId="0" fontId="66" fillId="16" borderId="13" xfId="0" applyFont="1" applyFill="1" applyBorder="1" applyAlignment="1">
      <alignment horizontal="center" vertical="center" wrapText="1"/>
    </xf>
    <xf numFmtId="0" fontId="53" fillId="0" borderId="12" xfId="0" applyFont="1" applyBorder="1" applyAlignment="1">
      <alignment horizontal="center" vertical="center"/>
    </xf>
    <xf numFmtId="41" fontId="53" fillId="0" borderId="3" xfId="0" applyNumberFormat="1" applyFont="1" applyBorder="1" applyAlignment="1">
      <alignment horizontal="center" vertical="center"/>
    </xf>
    <xf numFmtId="41" fontId="78" fillId="0" borderId="13" xfId="0" applyNumberFormat="1" applyFont="1" applyBorder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185" fontId="53" fillId="0" borderId="3" xfId="0" applyNumberFormat="1" applyFont="1" applyFill="1" applyBorder="1" applyAlignment="1">
      <alignment horizontal="right" vertical="center"/>
    </xf>
    <xf numFmtId="185" fontId="55" fillId="0" borderId="13" xfId="0" applyNumberFormat="1" applyFont="1" applyBorder="1" applyAlignment="1">
      <alignment horizontal="right" vertical="center"/>
    </xf>
    <xf numFmtId="0" fontId="49" fillId="16" borderId="12" xfId="0" applyFont="1" applyFill="1" applyBorder="1" applyAlignment="1">
      <alignment horizontal="center" vertical="center"/>
    </xf>
    <xf numFmtId="0" fontId="53" fillId="16" borderId="3" xfId="0" applyFont="1" applyFill="1" applyBorder="1" applyAlignment="1">
      <alignment horizontal="right" vertical="center" wrapText="1"/>
    </xf>
    <xf numFmtId="0" fontId="55" fillId="16" borderId="13" xfId="0" applyFont="1" applyFill="1" applyBorder="1" applyAlignment="1">
      <alignment horizontal="right" vertical="center" wrapText="1"/>
    </xf>
    <xf numFmtId="183" fontId="55" fillId="0" borderId="3" xfId="10" applyNumberFormat="1" applyFont="1" applyBorder="1" applyAlignment="1">
      <alignment horizontal="right"/>
    </xf>
    <xf numFmtId="41" fontId="53" fillId="0" borderId="13" xfId="0" applyNumberFormat="1" applyFont="1" applyBorder="1" applyAlignment="1">
      <alignment horizontal="right" vertical="center"/>
    </xf>
    <xf numFmtId="183" fontId="55" fillId="0" borderId="3" xfId="0" applyNumberFormat="1" applyFont="1" applyBorder="1" applyAlignment="1">
      <alignment horizontal="right"/>
    </xf>
    <xf numFmtId="0" fontId="49" fillId="7" borderId="14" xfId="0" applyFont="1" applyFill="1" applyBorder="1" applyAlignment="1">
      <alignment horizontal="center" vertical="center"/>
    </xf>
    <xf numFmtId="183" fontId="50" fillId="7" borderId="15" xfId="10" applyNumberFormat="1" applyFont="1" applyFill="1" applyBorder="1" applyAlignment="1">
      <alignment horizontal="right"/>
    </xf>
    <xf numFmtId="41" fontId="49" fillId="7" borderId="16" xfId="0" applyNumberFormat="1" applyFont="1" applyFill="1" applyBorder="1" applyAlignment="1">
      <alignment horizontal="right" vertical="center"/>
    </xf>
    <xf numFmtId="176" fontId="0" fillId="0" borderId="0" xfId="0" applyNumberFormat="1" applyFill="1" applyBorder="1"/>
    <xf numFmtId="176" fontId="14" fillId="0" borderId="0" xfId="0" applyNumberFormat="1" applyFont="1" applyFill="1" applyBorder="1" applyAlignment="1" applyProtection="1">
      <alignment vertical="center" wrapText="1"/>
      <protection locked="0"/>
    </xf>
    <xf numFmtId="0" fontId="0" fillId="0" borderId="0" xfId="0" applyFill="1" applyBorder="1"/>
    <xf numFmtId="0" fontId="13" fillId="5" borderId="13" xfId="0" applyFont="1" applyFill="1" applyBorder="1" applyAlignment="1" applyProtection="1">
      <alignment horizontal="center" wrapText="1"/>
      <protection locked="0"/>
    </xf>
    <xf numFmtId="0" fontId="13" fillId="14" borderId="12" xfId="0" applyFont="1" applyFill="1" applyBorder="1" applyAlignment="1" applyProtection="1">
      <alignment horizontal="center" vertical="center" wrapText="1"/>
      <protection locked="0"/>
    </xf>
    <xf numFmtId="176" fontId="13" fillId="14" borderId="13" xfId="0" applyNumberFormat="1" applyFont="1" applyFill="1" applyBorder="1" applyAlignment="1" applyProtection="1">
      <alignment vertical="center" wrapText="1"/>
      <protection locked="0"/>
    </xf>
    <xf numFmtId="0" fontId="14" fillId="6" borderId="12" xfId="0" applyFont="1" applyFill="1" applyBorder="1" applyAlignment="1" applyProtection="1">
      <alignment horizontal="center" vertical="center" wrapText="1"/>
      <protection locked="0"/>
    </xf>
    <xf numFmtId="176" fontId="14" fillId="6" borderId="13" xfId="0" applyNumberFormat="1" applyFont="1" applyFill="1" applyBorder="1" applyAlignment="1" applyProtection="1">
      <alignment vertical="center" wrapText="1"/>
      <protection locked="0"/>
    </xf>
    <xf numFmtId="0" fontId="14" fillId="6" borderId="12" xfId="0" applyFont="1" applyFill="1" applyBorder="1" applyAlignment="1" applyProtection="1">
      <alignment horizontal="center" vertical="center"/>
      <protection locked="0"/>
    </xf>
    <xf numFmtId="0" fontId="14" fillId="4" borderId="14" xfId="0" applyFont="1" applyFill="1" applyBorder="1" applyAlignment="1" applyProtection="1">
      <alignment horizontal="center" vertical="center" wrapText="1"/>
      <protection locked="0"/>
    </xf>
    <xf numFmtId="176" fontId="14" fillId="4" borderId="15" xfId="0" applyNumberFormat="1" applyFont="1" applyFill="1" applyBorder="1" applyAlignment="1" applyProtection="1">
      <alignment vertical="center" wrapText="1"/>
      <protection locked="0"/>
    </xf>
    <xf numFmtId="176" fontId="14" fillId="4" borderId="16" xfId="0" applyNumberFormat="1" applyFont="1" applyFill="1" applyBorder="1" applyAlignment="1" applyProtection="1">
      <alignment vertical="center" wrapText="1"/>
      <protection locked="0"/>
    </xf>
    <xf numFmtId="0" fontId="14" fillId="5" borderId="13" xfId="0" applyFont="1" applyFill="1" applyBorder="1" applyAlignment="1" applyProtection="1">
      <alignment horizontal="center" wrapText="1"/>
      <protection locked="0"/>
    </xf>
    <xf numFmtId="176" fontId="13" fillId="0" borderId="3" xfId="0" applyNumberFormat="1" applyFont="1" applyFill="1" applyBorder="1" applyAlignment="1" applyProtection="1">
      <alignment vertical="center" wrapText="1"/>
      <protection locked="0"/>
    </xf>
    <xf numFmtId="176" fontId="13" fillId="0" borderId="13" xfId="0" applyNumberFormat="1" applyFont="1" applyFill="1" applyBorder="1" applyAlignment="1" applyProtection="1">
      <alignment vertical="center" wrapText="1"/>
      <protection locked="0"/>
    </xf>
    <xf numFmtId="176" fontId="13" fillId="14" borderId="13" xfId="0" applyNumberFormat="1" applyFont="1" applyFill="1" applyBorder="1" applyAlignment="1" applyProtection="1">
      <alignment horizontal="right" vertical="center" wrapText="1"/>
      <protection locked="0"/>
    </xf>
    <xf numFmtId="176" fontId="13" fillId="4" borderId="16" xfId="0" applyNumberFormat="1" applyFont="1" applyFill="1" applyBorder="1" applyAlignment="1" applyProtection="1">
      <alignment vertical="center" wrapText="1"/>
      <protection locked="0"/>
    </xf>
    <xf numFmtId="176" fontId="21" fillId="14" borderId="3" xfId="0" applyNumberFormat="1" applyFont="1" applyFill="1" applyBorder="1" applyAlignment="1" applyProtection="1">
      <alignment horizontal="right" vertical="center" wrapText="1"/>
      <protection locked="0"/>
    </xf>
    <xf numFmtId="176" fontId="16" fillId="4" borderId="15" xfId="0" applyNumberFormat="1" applyFont="1" applyFill="1" applyBorder="1" applyAlignment="1" applyProtection="1">
      <alignment vertical="center" wrapText="1"/>
      <protection locked="0"/>
    </xf>
    <xf numFmtId="0" fontId="21" fillId="5" borderId="3" xfId="0" applyFont="1" applyFill="1" applyBorder="1" applyAlignment="1" applyProtection="1">
      <alignment horizontal="center" wrapText="1"/>
      <protection locked="0"/>
    </xf>
    <xf numFmtId="0" fontId="13" fillId="0" borderId="12" xfId="0" applyFont="1" applyFill="1" applyBorder="1" applyAlignment="1" applyProtection="1">
      <alignment horizontal="left" vertical="center" wrapText="1"/>
      <protection locked="0"/>
    </xf>
    <xf numFmtId="176" fontId="13" fillId="6" borderId="3" xfId="0" applyNumberFormat="1" applyFont="1" applyFill="1" applyBorder="1" applyAlignment="1" applyProtection="1">
      <alignment horizontal="right" vertical="center" wrapText="1"/>
      <protection locked="0"/>
    </xf>
    <xf numFmtId="176" fontId="14" fillId="6" borderId="3" xfId="0" applyNumberFormat="1" applyFont="1" applyFill="1" applyBorder="1" applyAlignment="1" applyProtection="1">
      <alignment horizontal="right" vertical="center" wrapText="1"/>
      <protection locked="0"/>
    </xf>
    <xf numFmtId="176" fontId="16" fillId="6" borderId="3" xfId="0" applyNumberFormat="1" applyFont="1" applyFill="1" applyBorder="1" applyAlignment="1" applyProtection="1">
      <alignment horizontal="right" vertical="center" wrapText="1"/>
      <protection locked="0"/>
    </xf>
    <xf numFmtId="0" fontId="0" fillId="6" borderId="3" xfId="0" applyFill="1" applyBorder="1"/>
    <xf numFmtId="0" fontId="82" fillId="0" borderId="0" xfId="0" applyFont="1"/>
    <xf numFmtId="41" fontId="18" fillId="0" borderId="0" xfId="1" applyFont="1" applyAlignment="1">
      <alignment vertical="center"/>
    </xf>
    <xf numFmtId="0" fontId="84" fillId="0" borderId="0" xfId="0" applyFont="1" applyAlignment="1">
      <alignment vertical="center"/>
    </xf>
    <xf numFmtId="41" fontId="12" fillId="0" borderId="3" xfId="1" applyNumberFormat="1" applyFont="1" applyFill="1" applyBorder="1" applyAlignment="1">
      <alignment vertical="center" wrapText="1"/>
    </xf>
    <xf numFmtId="41" fontId="12" fillId="0" borderId="3" xfId="1" applyNumberFormat="1" applyFont="1" applyFill="1" applyBorder="1" applyAlignment="1">
      <alignment horizontal="center" vertical="center" wrapText="1"/>
    </xf>
    <xf numFmtId="41" fontId="12" fillId="0" borderId="3" xfId="1" applyNumberFormat="1" applyFont="1" applyFill="1" applyBorder="1" applyAlignment="1">
      <alignment horizontal="right" vertical="center" wrapText="1"/>
    </xf>
    <xf numFmtId="41" fontId="12" fillId="0" borderId="3" xfId="1" applyFont="1" applyFill="1" applyBorder="1" applyAlignment="1">
      <alignment vertical="center" wrapText="1"/>
    </xf>
    <xf numFmtId="0" fontId="85" fillId="0" borderId="0" xfId="0" applyFont="1" applyAlignment="1">
      <alignment vertical="center"/>
    </xf>
    <xf numFmtId="0" fontId="86" fillId="0" borderId="0" xfId="0" applyFont="1" applyFill="1" applyBorder="1" applyAlignment="1">
      <alignment horizontal="left" vertical="center"/>
    </xf>
    <xf numFmtId="0" fontId="13" fillId="5" borderId="9" xfId="0" applyFont="1" applyFill="1" applyBorder="1" applyAlignment="1" applyProtection="1">
      <alignment horizontal="center" vertical="center" wrapText="1"/>
      <protection locked="0"/>
    </xf>
    <xf numFmtId="0" fontId="13" fillId="5" borderId="12" xfId="0" applyFont="1" applyFill="1" applyBorder="1" applyAlignment="1" applyProtection="1">
      <alignment horizontal="center" vertical="center" wrapText="1"/>
      <protection locked="0"/>
    </xf>
    <xf numFmtId="0" fontId="46" fillId="5" borderId="10" xfId="0" applyFont="1" applyFill="1" applyBorder="1" applyAlignment="1" applyProtection="1">
      <alignment horizontal="center" vertical="center"/>
      <protection locked="0"/>
    </xf>
    <xf numFmtId="0" fontId="46" fillId="5" borderId="11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38" fillId="0" borderId="31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43" fillId="0" borderId="0" xfId="8" applyFont="1" applyBorder="1" applyAlignment="1" applyProtection="1">
      <alignment horizontal="center" vertical="top" wrapText="1"/>
      <protection locked="0"/>
    </xf>
    <xf numFmtId="176" fontId="43" fillId="0" borderId="0" xfId="8" applyNumberFormat="1" applyFont="1" applyBorder="1" applyAlignment="1" applyProtection="1">
      <alignment horizontal="right" vertical="top" wrapText="1"/>
      <protection locked="0"/>
    </xf>
    <xf numFmtId="0" fontId="43" fillId="0" borderId="4" xfId="8" applyFont="1" applyBorder="1" applyAlignment="1" applyProtection="1">
      <alignment horizontal="center" vertical="center" wrapText="1"/>
      <protection locked="0"/>
    </xf>
    <xf numFmtId="176" fontId="43" fillId="0" borderId="4" xfId="8" applyNumberFormat="1" applyFont="1" applyBorder="1" applyAlignment="1" applyProtection="1">
      <alignment horizontal="right" vertical="center" wrapText="1"/>
      <protection locked="0"/>
    </xf>
    <xf numFmtId="0" fontId="43" fillId="0" borderId="4" xfId="8" applyFont="1" applyBorder="1" applyAlignment="1" applyProtection="1">
      <alignment horizontal="right" vertical="center" wrapText="1"/>
      <protection locked="0"/>
    </xf>
    <xf numFmtId="0" fontId="43" fillId="0" borderId="1" xfId="8" applyFont="1" applyBorder="1" applyAlignment="1" applyProtection="1">
      <alignment horizontal="center" vertical="top" wrapText="1"/>
      <protection locked="0"/>
    </xf>
    <xf numFmtId="176" fontId="43" fillId="0" borderId="1" xfId="8" applyNumberFormat="1" applyFont="1" applyBorder="1" applyAlignment="1" applyProtection="1">
      <alignment horizontal="right" vertical="top" wrapText="1"/>
      <protection locked="0"/>
    </xf>
    <xf numFmtId="0" fontId="32" fillId="0" borderId="1" xfId="0" applyFont="1" applyBorder="1" applyAlignment="1">
      <alignment horizontal="right" vertical="center"/>
    </xf>
    <xf numFmtId="0" fontId="32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0" fontId="37" fillId="0" borderId="27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41" fillId="0" borderId="26" xfId="0" applyFont="1" applyBorder="1" applyAlignment="1">
      <alignment horizontal="left" vertical="center" wrapText="1"/>
    </xf>
    <xf numFmtId="0" fontId="41" fillId="0" borderId="27" xfId="0" applyFont="1" applyBorder="1" applyAlignment="1">
      <alignment horizontal="left" vertical="center" wrapText="1"/>
    </xf>
    <xf numFmtId="0" fontId="43" fillId="0" borderId="38" xfId="8" applyFont="1" applyBorder="1" applyAlignment="1" applyProtection="1">
      <alignment horizontal="center" vertical="top" wrapText="1"/>
      <protection locked="0"/>
    </xf>
    <xf numFmtId="176" fontId="43" fillId="0" borderId="38" xfId="8" applyNumberFormat="1" applyFont="1" applyBorder="1" applyAlignment="1" applyProtection="1">
      <alignment horizontal="right" vertical="top" wrapText="1"/>
      <protection locked="0"/>
    </xf>
    <xf numFmtId="0" fontId="43" fillId="0" borderId="38" xfId="8" applyFont="1" applyBorder="1" applyAlignment="1" applyProtection="1">
      <alignment horizontal="left" vertical="top" wrapText="1"/>
      <protection locked="0"/>
    </xf>
    <xf numFmtId="0" fontId="43" fillId="0" borderId="0" xfId="8" applyFont="1" applyBorder="1" applyAlignment="1" applyProtection="1">
      <alignment horizontal="left" vertical="top" wrapText="1"/>
      <protection locked="0"/>
    </xf>
    <xf numFmtId="0" fontId="43" fillId="0" borderId="1" xfId="8" applyFont="1" applyBorder="1" applyAlignment="1" applyProtection="1">
      <alignment horizontal="left" vertical="top" wrapText="1"/>
      <protection locked="0"/>
    </xf>
    <xf numFmtId="0" fontId="38" fillId="0" borderId="32" xfId="0" applyFont="1" applyBorder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/>
    </xf>
    <xf numFmtId="0" fontId="36" fillId="0" borderId="27" xfId="0" applyFont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3" fillId="11" borderId="1" xfId="8" applyFont="1" applyFill="1" applyBorder="1" applyAlignment="1" applyProtection="1">
      <alignment horizontal="center" vertical="top" wrapText="1"/>
      <protection locked="0"/>
    </xf>
    <xf numFmtId="176" fontId="43" fillId="11" borderId="1" xfId="8" applyNumberFormat="1" applyFont="1" applyFill="1" applyBorder="1" applyAlignment="1" applyProtection="1">
      <alignment horizontal="right" vertical="top" wrapText="1"/>
      <protection locked="0"/>
    </xf>
    <xf numFmtId="0" fontId="43" fillId="11" borderId="1" xfId="8" applyFont="1" applyFill="1" applyBorder="1" applyAlignment="1" applyProtection="1">
      <alignment horizontal="left" vertical="top" wrapText="1"/>
      <protection locked="0"/>
    </xf>
    <xf numFmtId="0" fontId="32" fillId="12" borderId="2" xfId="0" applyFont="1" applyFill="1" applyBorder="1" applyAlignment="1">
      <alignment horizontal="center" vertical="center"/>
    </xf>
    <xf numFmtId="0" fontId="32" fillId="12" borderId="5" xfId="0" applyFont="1" applyFill="1" applyBorder="1" applyAlignment="1">
      <alignment horizontal="center" vertical="center"/>
    </xf>
    <xf numFmtId="0" fontId="32" fillId="13" borderId="3" xfId="0" applyFont="1" applyFill="1" applyBorder="1" applyAlignment="1">
      <alignment horizontal="center" vertical="center"/>
    </xf>
    <xf numFmtId="0" fontId="32" fillId="13" borderId="2" xfId="0" applyFont="1" applyFill="1" applyBorder="1" applyAlignment="1">
      <alignment horizontal="center" vertical="center"/>
    </xf>
    <xf numFmtId="0" fontId="32" fillId="13" borderId="5" xfId="0" applyFont="1" applyFill="1" applyBorder="1" applyAlignment="1">
      <alignment horizontal="center" vertical="center"/>
    </xf>
    <xf numFmtId="0" fontId="43" fillId="0" borderId="38" xfId="8" applyFont="1" applyBorder="1" applyAlignment="1" applyProtection="1">
      <alignment horizontal="center" vertical="center" wrapText="1"/>
      <protection locked="0"/>
    </xf>
    <xf numFmtId="0" fontId="43" fillId="0" borderId="5" xfId="8" applyFont="1" applyBorder="1" applyAlignment="1" applyProtection="1">
      <alignment horizontal="center" vertical="center" wrapText="1"/>
      <protection locked="0"/>
    </xf>
    <xf numFmtId="0" fontId="43" fillId="0" borderId="1" xfId="8" applyFont="1" applyBorder="1" applyAlignment="1" applyProtection="1">
      <alignment horizontal="center" vertical="center" wrapText="1"/>
      <protection locked="0"/>
    </xf>
    <xf numFmtId="0" fontId="43" fillId="0" borderId="0" xfId="8" applyFont="1" applyBorder="1" applyAlignment="1" applyProtection="1">
      <alignment horizontal="left" vertical="center" wrapText="1"/>
      <protection locked="0"/>
    </xf>
    <xf numFmtId="0" fontId="43" fillId="0" borderId="2" xfId="8" applyFont="1" applyBorder="1" applyAlignment="1" applyProtection="1">
      <alignment horizontal="center" vertical="center" wrapText="1"/>
      <protection locked="0"/>
    </xf>
    <xf numFmtId="0" fontId="43" fillId="11" borderId="0" xfId="8" applyFont="1" applyFill="1" applyBorder="1" applyAlignment="1" applyProtection="1">
      <alignment horizontal="center" vertical="top" wrapText="1"/>
      <protection locked="0"/>
    </xf>
    <xf numFmtId="176" fontId="43" fillId="11" borderId="0" xfId="8" applyNumberFormat="1" applyFont="1" applyFill="1" applyBorder="1" applyAlignment="1" applyProtection="1">
      <alignment horizontal="right" vertical="top" wrapText="1"/>
      <protection locked="0"/>
    </xf>
    <xf numFmtId="0" fontId="43" fillId="11" borderId="0" xfId="8" applyFont="1" applyFill="1" applyBorder="1" applyAlignment="1" applyProtection="1">
      <alignment horizontal="left" vertical="top" wrapText="1"/>
      <protection locked="0"/>
    </xf>
    <xf numFmtId="0" fontId="32" fillId="0" borderId="6" xfId="0" applyFont="1" applyFill="1" applyBorder="1" applyAlignment="1">
      <alignment horizontal="center" vertical="center" wrapText="1"/>
    </xf>
    <xf numFmtId="0" fontId="32" fillId="0" borderId="22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44" fillId="0" borderId="0" xfId="8" applyFont="1" applyBorder="1" applyAlignment="1" applyProtection="1">
      <alignment horizontal="center" vertical="top" wrapText="1"/>
      <protection locked="0"/>
    </xf>
    <xf numFmtId="0" fontId="43" fillId="0" borderId="4" xfId="8" applyFont="1" applyBorder="1" applyAlignment="1" applyProtection="1">
      <alignment horizontal="center" vertical="top" wrapText="1"/>
      <protection locked="0"/>
    </xf>
    <xf numFmtId="176" fontId="43" fillId="0" borderId="4" xfId="8" applyNumberFormat="1" applyFont="1" applyBorder="1" applyAlignment="1" applyProtection="1">
      <alignment horizontal="right" vertical="top" wrapText="1"/>
      <protection locked="0"/>
    </xf>
    <xf numFmtId="0" fontId="43" fillId="0" borderId="4" xfId="8" applyFont="1" applyBorder="1" applyAlignment="1" applyProtection="1">
      <alignment horizontal="left" vertical="top" wrapText="1"/>
      <protection locked="0"/>
    </xf>
    <xf numFmtId="0" fontId="44" fillId="0" borderId="4" xfId="8" applyFont="1" applyBorder="1" applyAlignment="1" applyProtection="1">
      <alignment horizontal="center" vertical="top" wrapText="1"/>
      <protection locked="0"/>
    </xf>
    <xf numFmtId="0" fontId="43" fillId="0" borderId="0" xfId="8" applyFont="1" applyBorder="1" applyAlignment="1" applyProtection="1">
      <alignment horizontal="center" vertical="center" wrapText="1"/>
      <protection locked="0"/>
    </xf>
    <xf numFmtId="0" fontId="42" fillId="6" borderId="23" xfId="0" applyFont="1" applyFill="1" applyBorder="1" applyAlignment="1">
      <alignment horizontal="center" vertical="center"/>
    </xf>
    <xf numFmtId="0" fontId="42" fillId="6" borderId="24" xfId="0" applyFont="1" applyFill="1" applyBorder="1" applyAlignment="1">
      <alignment horizontal="center" vertical="center"/>
    </xf>
    <xf numFmtId="0" fontId="42" fillId="6" borderId="70" xfId="0" applyFont="1" applyFill="1" applyBorder="1" applyAlignment="1">
      <alignment horizontal="center" vertical="center"/>
    </xf>
    <xf numFmtId="0" fontId="42" fillId="6" borderId="72" xfId="0" applyFont="1" applyFill="1" applyBorder="1" applyAlignment="1">
      <alignment horizontal="center" vertical="center"/>
    </xf>
    <xf numFmtId="0" fontId="61" fillId="6" borderId="71" xfId="0" applyFont="1" applyFill="1" applyBorder="1" applyAlignment="1">
      <alignment horizontal="center"/>
    </xf>
    <xf numFmtId="0" fontId="61" fillId="6" borderId="45" xfId="0" applyFont="1" applyFill="1" applyBorder="1" applyAlignment="1">
      <alignment horizontal="center"/>
    </xf>
    <xf numFmtId="0" fontId="76" fillId="0" borderId="12" xfId="0" applyFont="1" applyFill="1" applyBorder="1" applyAlignment="1">
      <alignment horizontal="right" vertical="center" wrapText="1"/>
    </xf>
    <xf numFmtId="0" fontId="76" fillId="0" borderId="14" xfId="0" applyFont="1" applyFill="1" applyBorder="1" applyAlignment="1">
      <alignment horizontal="right" vertical="center"/>
    </xf>
    <xf numFmtId="183" fontId="77" fillId="0" borderId="61" xfId="10" applyNumberFormat="1" applyFont="1" applyFill="1" applyBorder="1" applyAlignment="1">
      <alignment horizontal="right" vertical="center"/>
    </xf>
    <xf numFmtId="183" fontId="77" fillId="0" borderId="73" xfId="10" applyNumberFormat="1" applyFont="1" applyFill="1" applyBorder="1" applyAlignment="1">
      <alignment horizontal="right" vertical="center"/>
    </xf>
    <xf numFmtId="185" fontId="77" fillId="0" borderId="40" xfId="0" applyNumberFormat="1" applyFont="1" applyFill="1" applyBorder="1" applyAlignment="1">
      <alignment horizontal="right" vertical="center"/>
    </xf>
    <xf numFmtId="185" fontId="77" fillId="0" borderId="74" xfId="0" applyNumberFormat="1" applyFont="1" applyFill="1" applyBorder="1" applyAlignment="1">
      <alignment horizontal="right" vertical="center"/>
    </xf>
    <xf numFmtId="185" fontId="77" fillId="0" borderId="13" xfId="0" applyNumberFormat="1" applyFont="1" applyFill="1" applyBorder="1" applyAlignment="1">
      <alignment horizontal="right" vertical="center"/>
    </xf>
    <xf numFmtId="185" fontId="77" fillId="0" borderId="16" xfId="0" applyNumberFormat="1" applyFont="1" applyFill="1" applyBorder="1" applyAlignment="1">
      <alignment horizontal="right" vertical="center"/>
    </xf>
    <xf numFmtId="0" fontId="42" fillId="6" borderId="9" xfId="0" applyFont="1" applyFill="1" applyBorder="1" applyAlignment="1">
      <alignment horizontal="center" vertical="center"/>
    </xf>
    <xf numFmtId="0" fontId="42" fillId="6" borderId="57" xfId="0" applyFont="1" applyFill="1" applyBorder="1" applyAlignment="1">
      <alignment horizontal="center" vertical="center"/>
    </xf>
    <xf numFmtId="0" fontId="42" fillId="6" borderId="60" xfId="0" applyFont="1" applyFill="1" applyBorder="1" applyAlignment="1">
      <alignment horizontal="center" vertical="center"/>
    </xf>
    <xf numFmtId="0" fontId="42" fillId="6" borderId="39" xfId="0" applyFont="1" applyFill="1" applyBorder="1" applyAlignment="1">
      <alignment horizontal="center" vertical="center"/>
    </xf>
    <xf numFmtId="0" fontId="42" fillId="6" borderId="58" xfId="0" applyFont="1" applyFill="1" applyBorder="1" applyAlignment="1">
      <alignment horizontal="center" vertical="center"/>
    </xf>
    <xf numFmtId="0" fontId="42" fillId="6" borderId="61" xfId="0" applyFont="1" applyFill="1" applyBorder="1" applyAlignment="1">
      <alignment horizontal="center" vertical="center"/>
    </xf>
    <xf numFmtId="0" fontId="61" fillId="6" borderId="59" xfId="0" applyFont="1" applyFill="1" applyBorder="1" applyAlignment="1">
      <alignment horizontal="center"/>
    </xf>
    <xf numFmtId="0" fontId="49" fillId="0" borderId="9" xfId="0" applyFont="1" applyBorder="1" applyAlignment="1">
      <alignment horizontal="left" vertical="center"/>
    </xf>
    <xf numFmtId="0" fontId="49" fillId="0" borderId="12" xfId="0" applyFont="1" applyBorder="1" applyAlignment="1">
      <alignment horizontal="left" vertical="center"/>
    </xf>
    <xf numFmtId="0" fontId="49" fillId="0" borderId="32" xfId="0" applyFont="1" applyBorder="1" applyAlignment="1">
      <alignment horizontal="left" vertical="center"/>
    </xf>
    <xf numFmtId="0" fontId="49" fillId="10" borderId="57" xfId="0" applyFont="1" applyFill="1" applyBorder="1" applyAlignment="1">
      <alignment horizontal="left" vertical="center"/>
    </xf>
    <xf numFmtId="0" fontId="49" fillId="10" borderId="2" xfId="0" applyFont="1" applyFill="1" applyBorder="1" applyAlignment="1">
      <alignment horizontal="left" vertical="center"/>
    </xf>
    <xf numFmtId="183" fontId="72" fillId="10" borderId="58" xfId="10" applyNumberFormat="1" applyFont="1" applyFill="1" applyBorder="1" applyAlignment="1">
      <alignment horizontal="right" vertical="center"/>
    </xf>
    <xf numFmtId="183" fontId="72" fillId="10" borderId="64" xfId="10" applyNumberFormat="1" applyFont="1" applyFill="1" applyBorder="1" applyAlignment="1">
      <alignment horizontal="right" vertical="center"/>
    </xf>
    <xf numFmtId="185" fontId="72" fillId="10" borderId="66" xfId="0" applyNumberFormat="1" applyFont="1" applyFill="1" applyBorder="1" applyAlignment="1">
      <alignment horizontal="right"/>
    </xf>
    <xf numFmtId="185" fontId="72" fillId="10" borderId="68" xfId="0" applyNumberFormat="1" applyFont="1" applyFill="1" applyBorder="1" applyAlignment="1">
      <alignment horizontal="right"/>
    </xf>
    <xf numFmtId="185" fontId="72" fillId="10" borderId="67" xfId="0" applyNumberFormat="1" applyFont="1" applyFill="1" applyBorder="1" applyAlignment="1">
      <alignment horizontal="right"/>
    </xf>
    <xf numFmtId="185" fontId="72" fillId="10" borderId="69" xfId="0" applyNumberFormat="1" applyFont="1" applyFill="1" applyBorder="1" applyAlignment="1">
      <alignment horizontal="right"/>
    </xf>
    <xf numFmtId="0" fontId="52" fillId="6" borderId="48" xfId="0" applyFont="1" applyFill="1" applyBorder="1" applyAlignment="1">
      <alignment horizontal="center" vertical="center" wrapText="1"/>
    </xf>
    <xf numFmtId="0" fontId="52" fillId="6" borderId="51" xfId="0" applyFont="1" applyFill="1" applyBorder="1" applyAlignment="1">
      <alignment horizontal="center" vertical="center"/>
    </xf>
    <xf numFmtId="0" fontId="49" fillId="6" borderId="44" xfId="0" applyFont="1" applyFill="1" applyBorder="1" applyAlignment="1">
      <alignment horizontal="center" vertical="center"/>
    </xf>
    <xf numFmtId="0" fontId="49" fillId="6" borderId="31" xfId="0" applyFont="1" applyFill="1" applyBorder="1" applyAlignment="1">
      <alignment horizontal="center" vertical="center"/>
    </xf>
    <xf numFmtId="0" fontId="49" fillId="6" borderId="45" xfId="0" applyFont="1" applyFill="1" applyBorder="1" applyAlignment="1">
      <alignment horizontal="center" vertical="center" wrapText="1"/>
    </xf>
    <xf numFmtId="0" fontId="49" fillId="6" borderId="49" xfId="0" applyFont="1" applyFill="1" applyBorder="1" applyAlignment="1">
      <alignment horizontal="center" vertical="center"/>
    </xf>
    <xf numFmtId="0" fontId="50" fillId="0" borderId="30" xfId="0" applyFont="1" applyBorder="1" applyAlignment="1">
      <alignment horizontal="center" vertical="center"/>
    </xf>
    <xf numFmtId="0" fontId="50" fillId="10" borderId="46" xfId="0" applyFont="1" applyFill="1" applyBorder="1" applyAlignment="1">
      <alignment horizontal="center" vertical="center" wrapText="1"/>
    </xf>
    <xf numFmtId="0" fontId="50" fillId="10" borderId="50" xfId="0" applyFont="1" applyFill="1" applyBorder="1" applyAlignment="1">
      <alignment horizontal="center" vertical="center"/>
    </xf>
    <xf numFmtId="0" fontId="50" fillId="0" borderId="47" xfId="0" applyFont="1" applyBorder="1" applyAlignment="1">
      <alignment horizontal="center" vertical="center"/>
    </xf>
  </cellXfs>
  <cellStyles count="16">
    <cellStyle name="백분율 2" xfId="4"/>
    <cellStyle name="백분율 3" xfId="11"/>
    <cellStyle name="쉼표 [0]" xfId="1" builtinId="6"/>
    <cellStyle name="쉼표 [0] 2" xfId="3"/>
    <cellStyle name="쉼표 [0] 2 2" xfId="13"/>
    <cellStyle name="쉼표 [0] 2 3 2" xfId="12"/>
    <cellStyle name="쉼표 [0] 3" xfId="7"/>
    <cellStyle name="쉼표 [0] 4" xfId="10"/>
    <cellStyle name="쉼표 [0] 5" xfId="15"/>
    <cellStyle name="표준" xfId="0" builtinId="0"/>
    <cellStyle name="표준 2" xfId="2"/>
    <cellStyle name="표준 2 2" xfId="8"/>
    <cellStyle name="표준 3" xfId="5"/>
    <cellStyle name="표준 4" xfId="6"/>
    <cellStyle name="표준 5" xfId="9"/>
    <cellStyle name="표준 6" xfId="1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21</xdr:row>
      <xdr:rowOff>0</xdr:rowOff>
    </xdr:from>
    <xdr:to>
      <xdr:col>13</xdr:col>
      <xdr:colOff>1104900</xdr:colOff>
      <xdr:row>29</xdr:row>
      <xdr:rowOff>95250</xdr:rowOff>
    </xdr:to>
    <xdr:pic>
      <xdr:nvPicPr>
        <xdr:cNvPr id="8" name="_x712032680" descr="EMB00002790233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50575" y="7067550"/>
          <a:ext cx="5638800" cy="232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447675</xdr:colOff>
      <xdr:row>12</xdr:row>
      <xdr:rowOff>38100</xdr:rowOff>
    </xdr:from>
    <xdr:to>
      <xdr:col>13</xdr:col>
      <xdr:colOff>2247900</xdr:colOff>
      <xdr:row>19</xdr:row>
      <xdr:rowOff>180975</xdr:rowOff>
    </xdr:to>
    <xdr:pic>
      <xdr:nvPicPr>
        <xdr:cNvPr id="9" name="_x712032392" descr="EMB0000279023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93425" y="4191000"/>
          <a:ext cx="68389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tabSelected="1" zoomScale="115" zoomScaleNormal="115" workbookViewId="0"/>
  </sheetViews>
  <sheetFormatPr defaultRowHeight="16.5"/>
  <cols>
    <col min="1" max="1" width="5.25" customWidth="1"/>
    <col min="2" max="2" width="30.875" bestFit="1" customWidth="1"/>
    <col min="3" max="3" width="18.75" customWidth="1"/>
    <col min="4" max="4" width="18.25" customWidth="1"/>
    <col min="5" max="5" width="19.5" customWidth="1"/>
    <col min="6" max="6" width="21.5" customWidth="1"/>
    <col min="7" max="7" width="21.5" bestFit="1" customWidth="1"/>
    <col min="8" max="8" width="14.625" bestFit="1" customWidth="1"/>
  </cols>
  <sheetData>
    <row r="1" spans="1:8">
      <c r="A1" s="1"/>
      <c r="B1" s="1"/>
      <c r="C1" s="1"/>
      <c r="D1" s="1"/>
      <c r="E1" s="1"/>
      <c r="F1" s="1"/>
      <c r="G1" s="1"/>
      <c r="H1" s="1"/>
    </row>
    <row r="2" spans="1:8" ht="18.75">
      <c r="A2" s="1"/>
      <c r="B2" s="2" t="s">
        <v>3</v>
      </c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21" t="s">
        <v>534</v>
      </c>
      <c r="H3" s="1"/>
    </row>
    <row r="4" spans="1:8">
      <c r="A4" s="1"/>
      <c r="B4" s="169" t="s">
        <v>0</v>
      </c>
      <c r="C4" s="169" t="s">
        <v>1</v>
      </c>
      <c r="D4" s="169" t="s">
        <v>2</v>
      </c>
      <c r="E4" s="169" t="s">
        <v>64</v>
      </c>
      <c r="F4" s="169" t="s">
        <v>68</v>
      </c>
      <c r="G4" s="169" t="s">
        <v>47</v>
      </c>
      <c r="H4" s="1"/>
    </row>
    <row r="5" spans="1:8">
      <c r="A5" s="1"/>
      <c r="B5" s="22" t="s">
        <v>535</v>
      </c>
      <c r="C5" s="371">
        <v>-4298721876752</v>
      </c>
      <c r="D5" s="371">
        <v>30088629</v>
      </c>
      <c r="E5" s="371">
        <v>0</v>
      </c>
      <c r="F5" s="371">
        <v>0</v>
      </c>
      <c r="G5" s="371">
        <v>30088629</v>
      </c>
      <c r="H5" s="167"/>
    </row>
    <row r="6" spans="1:8">
      <c r="A6" s="1"/>
      <c r="B6" s="374" t="s">
        <v>536</v>
      </c>
      <c r="C6" s="170"/>
      <c r="D6" s="170"/>
      <c r="E6" s="170"/>
      <c r="F6" s="170"/>
      <c r="G6" s="170"/>
      <c r="H6" s="1"/>
    </row>
    <row r="7" spans="1:8">
      <c r="A7" s="1"/>
      <c r="B7" s="369"/>
      <c r="C7" s="170"/>
      <c r="D7" s="170"/>
      <c r="E7" s="171"/>
      <c r="F7" s="170"/>
      <c r="G7" s="172"/>
      <c r="H7" s="1"/>
    </row>
    <row r="8" spans="1:8" ht="18.75">
      <c r="A8" s="1"/>
      <c r="B8" s="2" t="s">
        <v>6</v>
      </c>
      <c r="C8" s="170"/>
      <c r="D8" s="170"/>
      <c r="E8" s="170"/>
      <c r="F8" s="170"/>
      <c r="G8" s="173"/>
      <c r="H8" s="1"/>
    </row>
    <row r="9" spans="1:8">
      <c r="A9" s="1"/>
      <c r="B9" s="170"/>
      <c r="C9" s="170"/>
      <c r="D9" s="170"/>
      <c r="E9" s="170"/>
      <c r="F9" s="170"/>
      <c r="G9" s="21" t="s">
        <v>534</v>
      </c>
      <c r="H9" s="1"/>
    </row>
    <row r="10" spans="1:8">
      <c r="A10" s="1"/>
      <c r="B10" s="169" t="s">
        <v>7</v>
      </c>
      <c r="C10" s="169" t="s">
        <v>1</v>
      </c>
      <c r="D10" s="169" t="s">
        <v>8</v>
      </c>
      <c r="E10" s="169" t="s">
        <v>9</v>
      </c>
      <c r="F10" s="169" t="s">
        <v>4</v>
      </c>
      <c r="G10" s="169" t="s">
        <v>5</v>
      </c>
      <c r="H10" s="1"/>
    </row>
    <row r="11" spans="1:8">
      <c r="A11" s="1"/>
      <c r="B11" s="22" t="s">
        <v>537</v>
      </c>
      <c r="C11" s="372">
        <v>5088300083</v>
      </c>
      <c r="D11" s="372">
        <v>508830317</v>
      </c>
      <c r="E11" s="371">
        <v>1295904</v>
      </c>
      <c r="F11" s="371">
        <v>0</v>
      </c>
      <c r="G11" s="372">
        <v>507534413</v>
      </c>
      <c r="H11" s="3"/>
    </row>
    <row r="12" spans="1:8">
      <c r="A12" s="1"/>
      <c r="B12" s="22" t="s">
        <v>538</v>
      </c>
      <c r="C12" s="23">
        <v>1378887013</v>
      </c>
      <c r="D12" s="23">
        <v>137888987</v>
      </c>
      <c r="E12" s="24">
        <v>5722218</v>
      </c>
      <c r="F12" s="24">
        <v>431000</v>
      </c>
      <c r="G12" s="23">
        <v>132166769</v>
      </c>
      <c r="H12" s="3"/>
    </row>
    <row r="13" spans="1:8">
      <c r="A13" s="1"/>
      <c r="B13" s="22" t="s">
        <v>539</v>
      </c>
      <c r="C13" s="23">
        <v>3821808445</v>
      </c>
      <c r="D13" s="23">
        <v>382180844</v>
      </c>
      <c r="E13" s="24">
        <v>12846317</v>
      </c>
      <c r="F13" s="24">
        <v>0</v>
      </c>
      <c r="G13" s="23">
        <v>369334527</v>
      </c>
      <c r="H13" s="3"/>
    </row>
    <row r="14" spans="1:8">
      <c r="A14" s="1"/>
      <c r="B14" s="22" t="s">
        <v>540</v>
      </c>
      <c r="C14" s="23">
        <v>0</v>
      </c>
      <c r="D14" s="23">
        <v>0</v>
      </c>
      <c r="E14" s="23">
        <v>0</v>
      </c>
      <c r="F14" s="24">
        <v>0</v>
      </c>
      <c r="G14" s="23">
        <v>0</v>
      </c>
      <c r="H14" s="3"/>
    </row>
    <row r="15" spans="1:8">
      <c r="A15" s="1"/>
      <c r="B15" s="375" t="s">
        <v>543</v>
      </c>
      <c r="C15" s="11"/>
      <c r="D15" s="11"/>
      <c r="E15" s="11"/>
      <c r="F15" s="11"/>
      <c r="G15" s="11"/>
      <c r="H15" s="3"/>
    </row>
    <row r="16" spans="1:8">
      <c r="A16" s="1"/>
      <c r="B16" s="375"/>
      <c r="C16" s="11"/>
      <c r="D16" s="11"/>
      <c r="E16" s="11"/>
      <c r="F16" s="11"/>
      <c r="G16" s="11"/>
      <c r="H16" s="3"/>
    </row>
    <row r="17" spans="1:8" ht="18.75">
      <c r="A17" s="1"/>
      <c r="B17" s="2" t="s">
        <v>10</v>
      </c>
      <c r="C17" s="170"/>
      <c r="D17" s="170"/>
      <c r="E17" s="170"/>
      <c r="F17" s="170"/>
      <c r="G17" s="170"/>
      <c r="H17" s="1"/>
    </row>
    <row r="18" spans="1:8">
      <c r="A18" s="1"/>
      <c r="B18" s="1"/>
      <c r="C18" s="170"/>
      <c r="D18" s="170"/>
      <c r="E18" s="170"/>
      <c r="F18" s="170"/>
      <c r="G18" s="21" t="s">
        <v>534</v>
      </c>
    </row>
    <row r="19" spans="1:8" ht="18" customHeight="1">
      <c r="A19" s="1"/>
      <c r="B19" s="169" t="s">
        <v>532</v>
      </c>
      <c r="C19" s="169" t="s">
        <v>11</v>
      </c>
      <c r="D19" s="169" t="s">
        <v>69</v>
      </c>
      <c r="E19" s="169" t="s">
        <v>12</v>
      </c>
      <c r="F19" s="169" t="s">
        <v>70</v>
      </c>
      <c r="G19" s="174" t="s">
        <v>71</v>
      </c>
    </row>
    <row r="20" spans="1:8">
      <c r="A20" s="1"/>
      <c r="B20" s="22" t="s">
        <v>541</v>
      </c>
      <c r="C20" s="22" t="s">
        <v>5</v>
      </c>
      <c r="D20" s="24">
        <v>3008862</v>
      </c>
      <c r="E20" s="371">
        <v>262416220</v>
      </c>
      <c r="F20" s="24">
        <v>23480250</v>
      </c>
      <c r="G20" s="373">
        <v>250051430</v>
      </c>
    </row>
    <row r="21" spans="1:8">
      <c r="A21" s="1"/>
      <c r="B21" s="375" t="s">
        <v>542</v>
      </c>
      <c r="C21" s="170"/>
      <c r="D21" s="170"/>
      <c r="E21" s="172"/>
      <c r="F21" s="367"/>
      <c r="G21" s="368"/>
      <c r="H21" s="14"/>
    </row>
    <row r="22" spans="1:8">
      <c r="A22" s="1"/>
      <c r="B22" s="12"/>
      <c r="C22" s="170"/>
      <c r="D22" s="170"/>
      <c r="E22" s="172"/>
      <c r="F22" s="172"/>
      <c r="G22" s="170"/>
    </row>
    <row r="23" spans="1:8" ht="18.75">
      <c r="A23" s="1"/>
      <c r="B23" s="2" t="s">
        <v>15</v>
      </c>
      <c r="C23" s="170"/>
      <c r="D23" s="170"/>
      <c r="E23" s="170"/>
      <c r="F23" s="170"/>
      <c r="G23" s="170"/>
      <c r="H23" s="1"/>
    </row>
    <row r="24" spans="1:8">
      <c r="A24" s="1"/>
      <c r="B24" s="1"/>
      <c r="C24" s="170"/>
      <c r="D24" s="170"/>
      <c r="E24" s="21" t="s">
        <v>534</v>
      </c>
      <c r="F24" s="1"/>
    </row>
    <row r="25" spans="1:8" ht="16.5" customHeight="1">
      <c r="A25" s="1"/>
      <c r="B25" s="169" t="s">
        <v>0</v>
      </c>
      <c r="C25" s="169" t="s">
        <v>531</v>
      </c>
      <c r="D25" s="169" t="s">
        <v>16</v>
      </c>
      <c r="E25" s="169" t="s">
        <v>14</v>
      </c>
    </row>
    <row r="26" spans="1:8">
      <c r="A26" s="1"/>
      <c r="B26" s="22" t="s">
        <v>533</v>
      </c>
      <c r="C26" s="22" t="s">
        <v>5</v>
      </c>
      <c r="D26" s="370">
        <v>367288579</v>
      </c>
      <c r="E26" s="23"/>
    </row>
    <row r="27" spans="1:8">
      <c r="A27" s="1"/>
      <c r="B27" s="1"/>
      <c r="C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4"/>
      <c r="G29" s="1"/>
      <c r="H29" s="1"/>
    </row>
  </sheetData>
  <phoneticPr fontId="6" type="Hiragana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86"/>
  <sheetViews>
    <sheetView topLeftCell="A37" zoomScale="85" zoomScaleNormal="85" workbookViewId="0">
      <pane xSplit="3" topLeftCell="D1" activePane="topRight" state="frozen"/>
      <selection pane="topRight" activeCell="F17" sqref="F17"/>
    </sheetView>
  </sheetViews>
  <sheetFormatPr defaultRowHeight="16.5"/>
  <cols>
    <col min="1" max="1" width="4.75" customWidth="1"/>
    <col min="2" max="2" width="21.75" customWidth="1"/>
    <col min="3" max="3" width="25.625" customWidth="1"/>
    <col min="4" max="5" width="16.125" customWidth="1"/>
    <col min="6" max="6" width="16" customWidth="1"/>
    <col min="7" max="7" width="13.5" customWidth="1"/>
    <col min="8" max="10" width="13.25" customWidth="1"/>
    <col min="11" max="11" width="12.375" customWidth="1"/>
    <col min="12" max="12" width="10.5" customWidth="1"/>
    <col min="13" max="14" width="12.125" bestFit="1" customWidth="1"/>
    <col min="15" max="15" width="11.75" customWidth="1"/>
    <col min="16" max="16" width="12.25" bestFit="1" customWidth="1"/>
    <col min="17" max="17" width="24.5" customWidth="1"/>
    <col min="18" max="18" width="12.75" bestFit="1" customWidth="1"/>
    <col min="19" max="19" width="13.75" bestFit="1" customWidth="1"/>
    <col min="20" max="20" width="11.5" bestFit="1" customWidth="1"/>
  </cols>
  <sheetData>
    <row r="1" spans="1:17">
      <c r="C1" t="s">
        <v>63</v>
      </c>
    </row>
    <row r="2" spans="1:17" ht="17.25" thickBot="1">
      <c r="A2" s="5"/>
      <c r="B2" s="5"/>
      <c r="C2" s="5"/>
      <c r="D2" s="5"/>
      <c r="E2" s="5"/>
      <c r="F2" s="5"/>
      <c r="G2" s="20"/>
      <c r="H2" s="5"/>
      <c r="I2" s="5"/>
      <c r="J2" s="5"/>
      <c r="K2" s="5"/>
      <c r="L2" s="5"/>
      <c r="M2" s="5"/>
      <c r="N2" s="5"/>
      <c r="O2" s="5"/>
      <c r="P2" s="5"/>
      <c r="Q2" s="7"/>
    </row>
    <row r="3" spans="1:17" ht="26.25">
      <c r="A3" s="5"/>
      <c r="B3" s="5"/>
      <c r="C3" s="376" t="s">
        <v>17</v>
      </c>
      <c r="D3" s="378" t="s">
        <v>13</v>
      </c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9"/>
      <c r="Q3" s="7"/>
    </row>
    <row r="4" spans="1:17">
      <c r="A4" s="5"/>
      <c r="B4" s="5"/>
      <c r="C4" s="377"/>
      <c r="D4" s="6" t="s">
        <v>48</v>
      </c>
      <c r="E4" s="6" t="s">
        <v>49</v>
      </c>
      <c r="F4" s="6" t="s">
        <v>50</v>
      </c>
      <c r="G4" s="6" t="s">
        <v>51</v>
      </c>
      <c r="H4" s="6" t="s">
        <v>52</v>
      </c>
      <c r="I4" s="6" t="s">
        <v>53</v>
      </c>
      <c r="J4" s="6" t="s">
        <v>54</v>
      </c>
      <c r="K4" s="6" t="s">
        <v>55</v>
      </c>
      <c r="L4" s="6" t="s">
        <v>56</v>
      </c>
      <c r="M4" s="361" t="s">
        <v>57</v>
      </c>
      <c r="N4" s="361" t="s">
        <v>58</v>
      </c>
      <c r="O4" s="361" t="s">
        <v>59</v>
      </c>
      <c r="P4" s="354" t="s">
        <v>38</v>
      </c>
      <c r="Q4" s="7"/>
    </row>
    <row r="5" spans="1:17">
      <c r="A5" s="5"/>
      <c r="B5" s="9"/>
      <c r="C5" s="362" t="s">
        <v>520</v>
      </c>
      <c r="D5" s="176">
        <v>77506140</v>
      </c>
      <c r="E5" s="176">
        <v>-33758610</v>
      </c>
      <c r="F5" s="176"/>
      <c r="G5" s="176"/>
      <c r="H5" s="176"/>
      <c r="I5" s="176"/>
      <c r="J5" s="177"/>
      <c r="K5" s="177"/>
      <c r="L5" s="177"/>
      <c r="M5" s="355"/>
      <c r="N5" s="355"/>
      <c r="O5" s="355"/>
      <c r="P5" s="356">
        <f t="shared" ref="P5:P10" si="0">SUM(D5:O5)</f>
        <v>43747530</v>
      </c>
      <c r="Q5" s="7"/>
    </row>
    <row r="6" spans="1:17">
      <c r="A6" s="5"/>
      <c r="B6" s="5"/>
      <c r="C6" s="362" t="s">
        <v>521</v>
      </c>
      <c r="D6" s="176">
        <v>4514080</v>
      </c>
      <c r="E6" s="176">
        <v>-3761590</v>
      </c>
      <c r="F6" s="176"/>
      <c r="G6" s="176"/>
      <c r="H6" s="176"/>
      <c r="I6" s="176"/>
      <c r="J6" s="177"/>
      <c r="K6" s="177"/>
      <c r="L6" s="177"/>
      <c r="M6" s="355"/>
      <c r="N6" s="355"/>
      <c r="O6" s="355"/>
      <c r="P6" s="356">
        <f t="shared" si="0"/>
        <v>752490</v>
      </c>
      <c r="Q6" s="7"/>
    </row>
    <row r="7" spans="1:17">
      <c r="A7" s="5"/>
      <c r="B7" s="5"/>
      <c r="C7" s="362" t="s">
        <v>522</v>
      </c>
      <c r="D7" s="363"/>
      <c r="E7" s="176">
        <v>40650</v>
      </c>
      <c r="F7" s="176"/>
      <c r="G7" s="176"/>
      <c r="H7" s="176"/>
      <c r="I7" s="176"/>
      <c r="J7" s="177"/>
      <c r="K7" s="177"/>
      <c r="L7" s="177"/>
      <c r="M7" s="355"/>
      <c r="N7" s="355"/>
      <c r="O7" s="355"/>
      <c r="P7" s="356">
        <f t="shared" si="0"/>
        <v>40650</v>
      </c>
      <c r="Q7" s="7"/>
    </row>
    <row r="8" spans="1:17">
      <c r="A8" s="5"/>
      <c r="B8" s="5"/>
      <c r="C8" s="362" t="s">
        <v>523</v>
      </c>
      <c r="D8" s="176">
        <v>6223450</v>
      </c>
      <c r="E8" s="176">
        <v>-2741410</v>
      </c>
      <c r="F8" s="176"/>
      <c r="G8" s="176"/>
      <c r="H8" s="176"/>
      <c r="I8" s="176"/>
      <c r="J8" s="177"/>
      <c r="K8" s="177"/>
      <c r="L8" s="177"/>
      <c r="M8" s="355"/>
      <c r="N8" s="355"/>
      <c r="O8" s="355"/>
      <c r="P8" s="356">
        <f t="shared" si="0"/>
        <v>3482040</v>
      </c>
      <c r="Q8" s="7"/>
    </row>
    <row r="9" spans="1:17">
      <c r="A9" s="5"/>
      <c r="B9" s="5"/>
      <c r="C9" s="362" t="s">
        <v>524</v>
      </c>
      <c r="D9" s="176">
        <v>204200</v>
      </c>
      <c r="E9" s="176">
        <v>81440</v>
      </c>
      <c r="F9" s="176"/>
      <c r="G9" s="176"/>
      <c r="H9" s="176"/>
      <c r="I9" s="176"/>
      <c r="J9" s="177"/>
      <c r="K9" s="177"/>
      <c r="L9" s="177"/>
      <c r="M9" s="355"/>
      <c r="N9" s="355"/>
      <c r="O9" s="355"/>
      <c r="P9" s="356">
        <f t="shared" si="0"/>
        <v>285640</v>
      </c>
      <c r="Q9" s="7"/>
    </row>
    <row r="10" spans="1:17">
      <c r="A10" s="5"/>
      <c r="B10" s="5"/>
      <c r="C10" s="362" t="s">
        <v>525</v>
      </c>
      <c r="D10" s="176">
        <v>99610</v>
      </c>
      <c r="E10" s="176">
        <v>-71610</v>
      </c>
      <c r="F10" s="176"/>
      <c r="G10" s="176"/>
      <c r="H10" s="176"/>
      <c r="I10" s="176"/>
      <c r="J10" s="177"/>
      <c r="K10" s="177"/>
      <c r="L10" s="177"/>
      <c r="M10" s="355"/>
      <c r="N10" s="355"/>
      <c r="O10" s="355"/>
      <c r="P10" s="356">
        <f t="shared" si="0"/>
        <v>28000</v>
      </c>
      <c r="Q10" s="7"/>
    </row>
    <row r="11" spans="1:17">
      <c r="A11" s="5"/>
      <c r="B11" s="5"/>
      <c r="C11" s="346" t="s">
        <v>61</v>
      </c>
      <c r="D11" s="178">
        <f>SUM(D5:D8)</f>
        <v>88243670</v>
      </c>
      <c r="E11" s="178">
        <f>SUM(E5:E8)</f>
        <v>-40220960</v>
      </c>
      <c r="F11" s="178">
        <f>SUM(F5:F8)</f>
        <v>0</v>
      </c>
      <c r="G11" s="178">
        <f>SUM(G5:G9)</f>
        <v>0</v>
      </c>
      <c r="H11" s="178">
        <f t="shared" ref="H11" si="1">SUM(H5:H9)</f>
        <v>0</v>
      </c>
      <c r="I11" s="178">
        <f>SUM(I5:I9)</f>
        <v>0</v>
      </c>
      <c r="J11" s="179">
        <f>SUM(J5:J9)</f>
        <v>0</v>
      </c>
      <c r="K11" s="179">
        <f t="shared" ref="K11:N11" si="2">SUM(K5:K9)</f>
        <v>0</v>
      </c>
      <c r="L11" s="179">
        <f t="shared" si="2"/>
        <v>0</v>
      </c>
      <c r="M11" s="359">
        <f>SUM(M5:M9)</f>
        <v>0</v>
      </c>
      <c r="N11" s="359">
        <f t="shared" si="2"/>
        <v>0</v>
      </c>
      <c r="O11" s="359">
        <f>SUM(O5:O10)</f>
        <v>0</v>
      </c>
      <c r="P11" s="357">
        <f>SUM(P5:P10)</f>
        <v>48336350</v>
      </c>
      <c r="Q11" s="7"/>
    </row>
    <row r="12" spans="1:17" s="14" customFormat="1">
      <c r="A12" s="9"/>
      <c r="B12" s="17"/>
      <c r="C12" s="348" t="s">
        <v>45</v>
      </c>
      <c r="D12" s="364">
        <v>2875140</v>
      </c>
      <c r="E12" s="8">
        <v>-590760</v>
      </c>
      <c r="F12" s="19"/>
      <c r="G12" s="19"/>
      <c r="H12" s="19"/>
      <c r="I12" s="18"/>
      <c r="J12" s="168"/>
      <c r="K12" s="168"/>
      <c r="L12" s="168"/>
      <c r="M12" s="8"/>
      <c r="N12" s="8"/>
      <c r="O12" s="8"/>
      <c r="P12" s="349">
        <f>SUM(D12:O12)</f>
        <v>2284380</v>
      </c>
      <c r="Q12" s="13"/>
    </row>
    <row r="13" spans="1:17">
      <c r="A13" s="5"/>
      <c r="B13" s="5"/>
      <c r="C13" s="348" t="s">
        <v>46</v>
      </c>
      <c r="D13" s="364">
        <v>2254500</v>
      </c>
      <c r="E13" s="8">
        <v>-640990</v>
      </c>
      <c r="F13" s="19"/>
      <c r="G13" s="19"/>
      <c r="H13" s="19"/>
      <c r="I13" s="18"/>
      <c r="J13" s="168"/>
      <c r="K13" s="168"/>
      <c r="L13" s="168"/>
      <c r="M13" s="8"/>
      <c r="N13" s="8"/>
      <c r="O13" s="8"/>
      <c r="P13" s="349">
        <f t="shared" ref="P13:P43" si="3">SUM(D13:O13)</f>
        <v>1613510</v>
      </c>
      <c r="Q13" s="7"/>
    </row>
    <row r="14" spans="1:17">
      <c r="A14" s="5"/>
      <c r="B14" s="5"/>
      <c r="C14" s="348" t="s">
        <v>44</v>
      </c>
      <c r="D14" s="364">
        <v>4847240</v>
      </c>
      <c r="E14" s="8">
        <v>-2522120</v>
      </c>
      <c r="F14" s="19"/>
      <c r="G14" s="19"/>
      <c r="H14" s="19"/>
      <c r="I14" s="18"/>
      <c r="J14" s="168"/>
      <c r="K14" s="168"/>
      <c r="L14" s="168"/>
      <c r="M14" s="8"/>
      <c r="N14" s="8"/>
      <c r="O14" s="8"/>
      <c r="P14" s="349">
        <f t="shared" si="3"/>
        <v>2325120</v>
      </c>
      <c r="Q14" s="7"/>
    </row>
    <row r="15" spans="1:17" s="14" customFormat="1">
      <c r="A15" s="9"/>
      <c r="B15" s="5"/>
      <c r="C15" s="348" t="s">
        <v>19</v>
      </c>
      <c r="D15" s="364">
        <v>3882690</v>
      </c>
      <c r="E15" s="8">
        <v>-1938600</v>
      </c>
      <c r="F15" s="19"/>
      <c r="G15" s="19"/>
      <c r="H15" s="19"/>
      <c r="I15" s="18"/>
      <c r="J15" s="168"/>
      <c r="K15" s="168"/>
      <c r="L15" s="168"/>
      <c r="M15" s="8"/>
      <c r="N15" s="8"/>
      <c r="O15" s="8"/>
      <c r="P15" s="349">
        <f t="shared" si="3"/>
        <v>1944090</v>
      </c>
      <c r="Q15" s="13"/>
    </row>
    <row r="16" spans="1:17">
      <c r="A16" s="5"/>
      <c r="B16" t="s">
        <v>529</v>
      </c>
      <c r="C16" s="348" t="s">
        <v>21</v>
      </c>
      <c r="D16" s="365">
        <v>5405090</v>
      </c>
      <c r="E16" s="8">
        <v>-1982710</v>
      </c>
      <c r="F16" s="19"/>
      <c r="G16" s="19"/>
      <c r="H16" s="19"/>
      <c r="I16" s="18"/>
      <c r="J16" s="168"/>
      <c r="K16" s="168"/>
      <c r="L16" s="168"/>
      <c r="M16" s="8"/>
      <c r="N16" s="8"/>
      <c r="O16" s="8"/>
      <c r="P16" s="349">
        <f t="shared" si="3"/>
        <v>3422380</v>
      </c>
      <c r="Q16" s="7"/>
    </row>
    <row r="17" spans="1:17">
      <c r="A17" s="5"/>
      <c r="B17" t="s">
        <v>529</v>
      </c>
      <c r="C17" s="348" t="s">
        <v>20</v>
      </c>
      <c r="D17" s="365">
        <v>3735840</v>
      </c>
      <c r="E17" s="8">
        <v>-468780</v>
      </c>
      <c r="F17" s="19"/>
      <c r="G17" s="19"/>
      <c r="H17" s="19"/>
      <c r="I17" s="18"/>
      <c r="J17" s="168"/>
      <c r="K17" s="168"/>
      <c r="L17" s="168"/>
      <c r="M17" s="8"/>
      <c r="N17" s="8"/>
      <c r="O17" s="8"/>
      <c r="P17" s="349">
        <f t="shared" si="3"/>
        <v>3267060</v>
      </c>
      <c r="Q17" s="7"/>
    </row>
    <row r="18" spans="1:17">
      <c r="A18" s="5"/>
      <c r="B18" t="s">
        <v>529</v>
      </c>
      <c r="C18" s="348" t="s">
        <v>22</v>
      </c>
      <c r="D18" s="365">
        <v>2859780</v>
      </c>
      <c r="E18" s="8">
        <v>-774260</v>
      </c>
      <c r="F18" s="19"/>
      <c r="G18" s="19"/>
      <c r="H18" s="19"/>
      <c r="I18" s="18"/>
      <c r="J18" s="168"/>
      <c r="K18" s="168"/>
      <c r="L18" s="168"/>
      <c r="M18" s="8"/>
      <c r="N18" s="8"/>
      <c r="O18" s="8"/>
      <c r="P18" s="349">
        <f t="shared" si="3"/>
        <v>2085520</v>
      </c>
      <c r="Q18" s="7"/>
    </row>
    <row r="19" spans="1:17">
      <c r="A19" s="5"/>
      <c r="C19" s="348" t="s">
        <v>67</v>
      </c>
      <c r="D19" s="364">
        <v>1862000</v>
      </c>
      <c r="E19" s="8">
        <v>-329750</v>
      </c>
      <c r="F19" s="19"/>
      <c r="G19" s="19"/>
      <c r="H19" s="19"/>
      <c r="I19" s="18"/>
      <c r="J19" s="168"/>
      <c r="K19" s="168"/>
      <c r="L19" s="168"/>
      <c r="M19" s="8"/>
      <c r="N19" s="8"/>
      <c r="O19" s="8"/>
      <c r="P19" s="349">
        <f t="shared" si="3"/>
        <v>1532250</v>
      </c>
      <c r="Q19" s="7"/>
    </row>
    <row r="20" spans="1:17">
      <c r="A20" s="5"/>
      <c r="C20" s="348" t="s">
        <v>526</v>
      </c>
      <c r="D20" s="364">
        <v>1692780</v>
      </c>
      <c r="E20" s="8">
        <v>-836860</v>
      </c>
      <c r="F20" s="19"/>
      <c r="G20" s="19"/>
      <c r="H20" s="19"/>
      <c r="I20" s="18"/>
      <c r="J20" s="168"/>
      <c r="K20" s="168"/>
      <c r="L20" s="168"/>
      <c r="M20" s="8"/>
      <c r="N20" s="8"/>
      <c r="O20" s="8"/>
      <c r="P20" s="349">
        <f t="shared" si="3"/>
        <v>855920</v>
      </c>
      <c r="Q20" s="7"/>
    </row>
    <row r="21" spans="1:17">
      <c r="A21" s="5"/>
      <c r="C21" s="348" t="s">
        <v>527</v>
      </c>
      <c r="D21" s="364">
        <v>3025320</v>
      </c>
      <c r="E21" s="8">
        <v>-714620</v>
      </c>
      <c r="F21" s="19"/>
      <c r="G21" s="19"/>
      <c r="H21" s="19"/>
      <c r="I21" s="18"/>
      <c r="J21" s="168"/>
      <c r="K21" s="168"/>
      <c r="L21" s="168"/>
      <c r="M21" s="8"/>
      <c r="N21" s="8"/>
      <c r="O21" s="8"/>
      <c r="P21" s="349">
        <f t="shared" si="3"/>
        <v>2310700</v>
      </c>
      <c r="Q21" s="7"/>
    </row>
    <row r="22" spans="1:17">
      <c r="A22" s="5"/>
      <c r="C22" s="348" t="s">
        <v>23</v>
      </c>
      <c r="D22" s="364">
        <v>2850330</v>
      </c>
      <c r="E22" s="8">
        <v>-2068610</v>
      </c>
      <c r="F22" s="19"/>
      <c r="G22" s="19"/>
      <c r="H22" s="19"/>
      <c r="I22" s="18"/>
      <c r="J22" s="168"/>
      <c r="K22" s="168"/>
      <c r="L22" s="168"/>
      <c r="M22" s="8"/>
      <c r="N22" s="8"/>
      <c r="O22" s="8"/>
      <c r="P22" s="349">
        <f t="shared" si="3"/>
        <v>781720</v>
      </c>
      <c r="Q22" s="7"/>
    </row>
    <row r="23" spans="1:17">
      <c r="A23" s="5"/>
      <c r="C23" s="350" t="s">
        <v>24</v>
      </c>
      <c r="D23" s="8">
        <v>2550910</v>
      </c>
      <c r="E23" s="8">
        <v>-1207030</v>
      </c>
      <c r="F23" s="19"/>
      <c r="G23" s="19"/>
      <c r="H23" s="19"/>
      <c r="I23" s="19"/>
      <c r="J23" s="168"/>
      <c r="K23" s="168"/>
      <c r="L23" s="168"/>
      <c r="M23" s="8"/>
      <c r="N23" s="8"/>
      <c r="O23" s="8"/>
      <c r="P23" s="349">
        <f t="shared" si="3"/>
        <v>1343880</v>
      </c>
      <c r="Q23" s="7"/>
    </row>
    <row r="24" spans="1:17">
      <c r="A24" s="5"/>
      <c r="C24" s="350" t="s">
        <v>25</v>
      </c>
      <c r="D24" s="8">
        <v>2521670</v>
      </c>
      <c r="E24" s="8">
        <v>-1954740</v>
      </c>
      <c r="F24" s="19"/>
      <c r="G24" s="19"/>
      <c r="H24" s="19"/>
      <c r="I24" s="19"/>
      <c r="J24" s="168"/>
      <c r="K24" s="168"/>
      <c r="L24" s="168"/>
      <c r="M24" s="8"/>
      <c r="N24" s="8"/>
      <c r="O24" s="8"/>
      <c r="P24" s="349">
        <f t="shared" si="3"/>
        <v>566930</v>
      </c>
      <c r="Q24" s="7"/>
    </row>
    <row r="25" spans="1:17">
      <c r="A25" s="5"/>
      <c r="C25" s="348" t="s">
        <v>30</v>
      </c>
      <c r="D25" s="364">
        <v>613970</v>
      </c>
      <c r="E25" s="8">
        <v>-619480</v>
      </c>
      <c r="F25" s="19"/>
      <c r="G25" s="19"/>
      <c r="H25" s="19"/>
      <c r="I25" s="18"/>
      <c r="J25" s="168"/>
      <c r="K25" s="168"/>
      <c r="L25" s="168"/>
      <c r="M25" s="8"/>
      <c r="N25" s="8"/>
      <c r="O25" s="8"/>
      <c r="P25" s="349">
        <f t="shared" si="3"/>
        <v>-5510</v>
      </c>
      <c r="Q25" s="7"/>
    </row>
    <row r="26" spans="1:17">
      <c r="A26" s="5"/>
      <c r="C26" s="348" t="s">
        <v>37</v>
      </c>
      <c r="D26" s="364">
        <v>1507840</v>
      </c>
      <c r="E26" s="8">
        <v>-1181260</v>
      </c>
      <c r="F26" s="19"/>
      <c r="G26" s="19"/>
      <c r="H26" s="19"/>
      <c r="I26" s="18"/>
      <c r="J26" s="168"/>
      <c r="K26" s="168"/>
      <c r="L26" s="168"/>
      <c r="M26" s="8"/>
      <c r="N26" s="8"/>
      <c r="O26" s="8"/>
      <c r="P26" s="349">
        <f t="shared" si="3"/>
        <v>326580</v>
      </c>
      <c r="Q26" s="7"/>
    </row>
    <row r="27" spans="1:17">
      <c r="A27" s="5"/>
      <c r="C27" s="348" t="s">
        <v>28</v>
      </c>
      <c r="D27" s="364">
        <v>987950</v>
      </c>
      <c r="E27" s="8">
        <v>-903140</v>
      </c>
      <c r="F27" s="19"/>
      <c r="G27" s="19"/>
      <c r="H27" s="19"/>
      <c r="I27" s="18"/>
      <c r="J27" s="168"/>
      <c r="K27" s="168"/>
      <c r="L27" s="168"/>
      <c r="M27" s="8"/>
      <c r="N27" s="8"/>
      <c r="O27" s="8"/>
      <c r="P27" s="349">
        <f t="shared" si="3"/>
        <v>84810</v>
      </c>
      <c r="Q27" s="7"/>
    </row>
    <row r="28" spans="1:17">
      <c r="A28" s="5"/>
      <c r="B28" t="s">
        <v>530</v>
      </c>
      <c r="C28" s="348" t="s">
        <v>29</v>
      </c>
      <c r="D28" s="365">
        <v>1259319</v>
      </c>
      <c r="E28" s="8">
        <v>-556270</v>
      </c>
      <c r="F28" s="19"/>
      <c r="G28" s="19"/>
      <c r="H28" s="19"/>
      <c r="I28" s="18"/>
      <c r="J28" s="168"/>
      <c r="K28" s="168"/>
      <c r="L28" s="168"/>
      <c r="M28" s="8"/>
      <c r="N28" s="8"/>
      <c r="O28" s="8"/>
      <c r="P28" s="349">
        <f t="shared" si="3"/>
        <v>703049</v>
      </c>
      <c r="Q28" s="7"/>
    </row>
    <row r="29" spans="1:17">
      <c r="A29" s="5"/>
      <c r="B29" s="5"/>
      <c r="C29" s="348" t="s">
        <v>26</v>
      </c>
      <c r="D29" s="364">
        <v>1130670</v>
      </c>
      <c r="E29" s="8">
        <v>-260240</v>
      </c>
      <c r="F29" s="19"/>
      <c r="G29" s="19"/>
      <c r="H29" s="19"/>
      <c r="I29" s="18"/>
      <c r="J29" s="168"/>
      <c r="K29" s="168"/>
      <c r="L29" s="168"/>
      <c r="M29" s="8"/>
      <c r="N29" s="8"/>
      <c r="O29" s="8"/>
      <c r="P29" s="349">
        <f t="shared" si="3"/>
        <v>870430</v>
      </c>
      <c r="Q29" s="7"/>
    </row>
    <row r="30" spans="1:17">
      <c r="A30" s="5"/>
      <c r="B30" s="5"/>
      <c r="C30" s="348" t="s">
        <v>27</v>
      </c>
      <c r="D30" s="364">
        <v>1356080</v>
      </c>
      <c r="E30" s="8">
        <v>-300060</v>
      </c>
      <c r="F30" s="19"/>
      <c r="G30" s="19"/>
      <c r="H30" s="19"/>
      <c r="I30" s="18"/>
      <c r="J30" s="168"/>
      <c r="K30" s="168"/>
      <c r="L30" s="168"/>
      <c r="M30" s="8"/>
      <c r="N30" s="8"/>
      <c r="O30" s="8"/>
      <c r="P30" s="349">
        <f t="shared" si="3"/>
        <v>1056020</v>
      </c>
      <c r="Q30" s="7"/>
    </row>
    <row r="31" spans="1:17">
      <c r="A31" s="5"/>
      <c r="B31" s="5"/>
      <c r="C31" s="348" t="s">
        <v>66</v>
      </c>
      <c r="D31" s="364">
        <v>2628060</v>
      </c>
      <c r="E31" s="8">
        <v>-850310</v>
      </c>
      <c r="F31" s="19"/>
      <c r="G31" s="19"/>
      <c r="H31" s="19"/>
      <c r="I31" s="18"/>
      <c r="J31" s="168"/>
      <c r="K31" s="168"/>
      <c r="L31" s="168"/>
      <c r="M31" s="8"/>
      <c r="N31" s="8"/>
      <c r="O31" s="8"/>
      <c r="P31" s="349">
        <f t="shared" si="3"/>
        <v>1777750</v>
      </c>
      <c r="Q31" s="7"/>
    </row>
    <row r="32" spans="1:17">
      <c r="A32" s="5"/>
      <c r="B32" s="5"/>
      <c r="C32" s="348" t="s">
        <v>31</v>
      </c>
      <c r="D32" s="364">
        <v>4355930</v>
      </c>
      <c r="E32" s="8">
        <v>-3060430</v>
      </c>
      <c r="F32" s="19"/>
      <c r="G32" s="19"/>
      <c r="H32" s="19"/>
      <c r="I32" s="18"/>
      <c r="J32" s="168"/>
      <c r="K32" s="168"/>
      <c r="L32" s="168"/>
      <c r="M32" s="8"/>
      <c r="N32" s="8"/>
      <c r="O32" s="8"/>
      <c r="P32" s="349">
        <f t="shared" si="3"/>
        <v>1295500</v>
      </c>
      <c r="Q32" s="7"/>
    </row>
    <row r="33" spans="1:17">
      <c r="A33" s="5"/>
      <c r="B33" s="166"/>
      <c r="C33" s="348" t="s">
        <v>35</v>
      </c>
      <c r="D33" s="364">
        <v>2582810</v>
      </c>
      <c r="E33" s="8">
        <v>-293210</v>
      </c>
      <c r="F33" s="19"/>
      <c r="G33" s="19"/>
      <c r="H33" s="19"/>
      <c r="I33" s="18"/>
      <c r="J33" s="168"/>
      <c r="K33" s="168"/>
      <c r="L33" s="168"/>
      <c r="M33" s="8"/>
      <c r="N33" s="8"/>
      <c r="O33" s="8"/>
      <c r="P33" s="349">
        <f t="shared" si="3"/>
        <v>2289600</v>
      </c>
      <c r="Q33" s="7"/>
    </row>
    <row r="34" spans="1:17">
      <c r="A34" s="5"/>
      <c r="B34" s="5"/>
      <c r="C34" s="348" t="s">
        <v>32</v>
      </c>
      <c r="D34" s="364">
        <v>4085790</v>
      </c>
      <c r="E34" s="8">
        <v>-1760860</v>
      </c>
      <c r="F34" s="19"/>
      <c r="G34" s="19"/>
      <c r="H34" s="19"/>
      <c r="I34" s="18"/>
      <c r="J34" s="168"/>
      <c r="K34" s="168"/>
      <c r="L34" s="168"/>
      <c r="M34" s="8"/>
      <c r="N34" s="8"/>
      <c r="O34" s="8"/>
      <c r="P34" s="349">
        <f t="shared" si="3"/>
        <v>2324930</v>
      </c>
      <c r="Q34" s="7"/>
    </row>
    <row r="35" spans="1:17">
      <c r="A35" s="5"/>
      <c r="B35" s="166"/>
      <c r="C35" s="350" t="s">
        <v>33</v>
      </c>
      <c r="D35" s="364">
        <v>2575150</v>
      </c>
      <c r="E35" s="8">
        <v>-1159790</v>
      </c>
      <c r="F35" s="19"/>
      <c r="G35" s="19"/>
      <c r="H35" s="19"/>
      <c r="I35" s="18"/>
      <c r="J35" s="168"/>
      <c r="K35" s="168"/>
      <c r="L35" s="168"/>
      <c r="M35" s="8"/>
      <c r="N35" s="8"/>
      <c r="O35" s="8"/>
      <c r="P35" s="349">
        <f t="shared" si="3"/>
        <v>1415360</v>
      </c>
      <c r="Q35" s="7"/>
    </row>
    <row r="36" spans="1:17">
      <c r="A36" s="5"/>
      <c r="B36" s="5"/>
      <c r="C36" s="350" t="s">
        <v>34</v>
      </c>
      <c r="D36" s="364">
        <v>2647530</v>
      </c>
      <c r="E36" s="8">
        <v>-1121200</v>
      </c>
      <c r="F36" s="19"/>
      <c r="G36" s="19"/>
      <c r="H36" s="19"/>
      <c r="I36" s="18"/>
      <c r="J36" s="168"/>
      <c r="K36" s="168"/>
      <c r="L36" s="168"/>
      <c r="M36" s="8"/>
      <c r="N36" s="8"/>
      <c r="O36" s="8"/>
      <c r="P36" s="349">
        <f t="shared" si="3"/>
        <v>1526330</v>
      </c>
      <c r="Q36" s="7"/>
    </row>
    <row r="37" spans="1:17" s="15" customFormat="1">
      <c r="A37" s="10"/>
      <c r="B37" s="5"/>
      <c r="C37" s="350" t="s">
        <v>39</v>
      </c>
      <c r="D37" s="364">
        <v>5027890</v>
      </c>
      <c r="E37" s="8">
        <v>-837400</v>
      </c>
      <c r="F37" s="19"/>
      <c r="G37" s="19"/>
      <c r="H37" s="19"/>
      <c r="I37" s="18"/>
      <c r="J37" s="168"/>
      <c r="K37" s="168"/>
      <c r="L37" s="168"/>
      <c r="M37" s="8"/>
      <c r="N37" s="8"/>
      <c r="O37" s="8"/>
      <c r="P37" s="349">
        <f t="shared" si="3"/>
        <v>4190490</v>
      </c>
      <c r="Q37" s="7"/>
    </row>
    <row r="38" spans="1:17">
      <c r="A38" s="5"/>
      <c r="B38" s="5"/>
      <c r="C38" s="350" t="s">
        <v>40</v>
      </c>
      <c r="D38" s="364">
        <v>2498740</v>
      </c>
      <c r="E38" s="8">
        <v>-411620</v>
      </c>
      <c r="F38" s="19"/>
      <c r="G38" s="19"/>
      <c r="H38" s="19"/>
      <c r="I38" s="18"/>
      <c r="J38" s="168"/>
      <c r="K38" s="168"/>
      <c r="L38" s="168"/>
      <c r="M38" s="8"/>
      <c r="N38" s="8"/>
      <c r="O38" s="8"/>
      <c r="P38" s="349">
        <f t="shared" si="3"/>
        <v>2087120</v>
      </c>
      <c r="Q38" s="7"/>
    </row>
    <row r="39" spans="1:17" s="15" customFormat="1">
      <c r="A39" s="10"/>
      <c r="B39" s="5"/>
      <c r="C39" s="350" t="s">
        <v>41</v>
      </c>
      <c r="D39" s="364">
        <v>1992450</v>
      </c>
      <c r="E39" s="8">
        <v>-1409650</v>
      </c>
      <c r="F39" s="19"/>
      <c r="G39" s="19"/>
      <c r="H39" s="19"/>
      <c r="I39" s="18"/>
      <c r="J39" s="168"/>
      <c r="K39" s="168"/>
      <c r="L39" s="168"/>
      <c r="M39" s="8"/>
      <c r="N39" s="8"/>
      <c r="O39" s="8"/>
      <c r="P39" s="349">
        <f t="shared" si="3"/>
        <v>582800</v>
      </c>
      <c r="Q39" s="7"/>
    </row>
    <row r="40" spans="1:17">
      <c r="A40" s="5"/>
      <c r="B40" s="5"/>
      <c r="C40" s="348" t="s">
        <v>42</v>
      </c>
      <c r="D40" s="364">
        <v>1502740</v>
      </c>
      <c r="E40" s="8">
        <v>-1802190</v>
      </c>
      <c r="F40" s="19"/>
      <c r="G40" s="19"/>
      <c r="H40" s="19"/>
      <c r="I40" s="18"/>
      <c r="J40" s="168"/>
      <c r="K40" s="168"/>
      <c r="L40" s="168"/>
      <c r="M40" s="8"/>
      <c r="N40" s="8"/>
      <c r="O40" s="8"/>
      <c r="P40" s="349">
        <f t="shared" si="3"/>
        <v>-299450</v>
      </c>
      <c r="Q40" s="7"/>
    </row>
    <row r="41" spans="1:17">
      <c r="A41" s="5"/>
      <c r="B41" s="5"/>
      <c r="C41" s="348" t="s">
        <v>43</v>
      </c>
      <c r="D41" s="364">
        <v>1376960</v>
      </c>
      <c r="E41" s="366">
        <v>-962880</v>
      </c>
      <c r="F41" s="19"/>
      <c r="G41" s="19"/>
      <c r="H41" s="19"/>
      <c r="I41" s="18"/>
      <c r="J41" s="168"/>
      <c r="K41" s="168"/>
      <c r="L41" s="168"/>
      <c r="M41" s="8"/>
      <c r="N41" s="8"/>
      <c r="O41" s="8"/>
      <c r="P41" s="349">
        <f t="shared" si="3"/>
        <v>414080</v>
      </c>
      <c r="Q41" s="7"/>
    </row>
    <row r="42" spans="1:17">
      <c r="A42" s="5"/>
      <c r="B42" s="5"/>
      <c r="C42" s="348" t="s">
        <v>65</v>
      </c>
      <c r="D42" s="364">
        <v>2897930</v>
      </c>
      <c r="E42" s="8">
        <v>-793820</v>
      </c>
      <c r="F42" s="19"/>
      <c r="G42" s="19"/>
      <c r="H42" s="19"/>
      <c r="I42" s="18"/>
      <c r="J42" s="168"/>
      <c r="K42" s="168"/>
      <c r="L42" s="168"/>
      <c r="M42" s="8"/>
      <c r="N42" s="8"/>
      <c r="O42" s="8"/>
      <c r="P42" s="349">
        <f t="shared" si="3"/>
        <v>2104110</v>
      </c>
      <c r="Q42" s="7"/>
    </row>
    <row r="43" spans="1:17">
      <c r="A43" s="5"/>
      <c r="B43" s="5"/>
      <c r="C43" s="348" t="s">
        <v>528</v>
      </c>
      <c r="D43" s="364">
        <v>2175270</v>
      </c>
      <c r="E43" s="8">
        <v>-1006310</v>
      </c>
      <c r="F43" s="19"/>
      <c r="G43" s="19"/>
      <c r="H43" s="19"/>
      <c r="I43" s="18"/>
      <c r="J43" s="168"/>
      <c r="K43" s="168"/>
      <c r="L43" s="168"/>
      <c r="M43" s="8"/>
      <c r="N43" s="8"/>
      <c r="O43" s="8"/>
      <c r="P43" s="349">
        <f t="shared" si="3"/>
        <v>1168960</v>
      </c>
      <c r="Q43" s="7"/>
    </row>
    <row r="44" spans="1:17" ht="17.25" thickBot="1">
      <c r="A44" s="5"/>
      <c r="B44" s="5"/>
      <c r="C44" s="351" t="s">
        <v>36</v>
      </c>
      <c r="D44" s="352">
        <f t="shared" ref="D44:P44" si="4">SUM(D11:D43)</f>
        <v>171810039</v>
      </c>
      <c r="E44" s="352">
        <f t="shared" si="4"/>
        <v>-75540910</v>
      </c>
      <c r="F44" s="352">
        <f t="shared" si="4"/>
        <v>0</v>
      </c>
      <c r="G44" s="352">
        <f t="shared" si="4"/>
        <v>0</v>
      </c>
      <c r="H44" s="352">
        <f t="shared" si="4"/>
        <v>0</v>
      </c>
      <c r="I44" s="352">
        <f t="shared" si="4"/>
        <v>0</v>
      </c>
      <c r="J44" s="352">
        <f t="shared" si="4"/>
        <v>0</v>
      </c>
      <c r="K44" s="352">
        <f t="shared" si="4"/>
        <v>0</v>
      </c>
      <c r="L44" s="352">
        <f t="shared" si="4"/>
        <v>0</v>
      </c>
      <c r="M44" s="360">
        <f t="shared" si="4"/>
        <v>0</v>
      </c>
      <c r="N44" s="360">
        <f t="shared" si="4"/>
        <v>0</v>
      </c>
      <c r="O44" s="360">
        <f t="shared" si="4"/>
        <v>0</v>
      </c>
      <c r="P44" s="358">
        <f t="shared" si="4"/>
        <v>96582769</v>
      </c>
      <c r="Q44" s="7"/>
    </row>
    <row r="45" spans="1:17">
      <c r="A45" s="5"/>
      <c r="B45" s="5"/>
      <c r="C45" s="5"/>
      <c r="K45" s="5"/>
      <c r="L45" s="5"/>
      <c r="M45" s="20"/>
      <c r="N45" s="20"/>
      <c r="O45" s="20"/>
      <c r="P45" s="20" t="b">
        <f>SUM(D44:O44)=P44</f>
        <v>0</v>
      </c>
      <c r="Q45" s="5"/>
    </row>
    <row r="46" spans="1:17">
      <c r="L46" s="16"/>
      <c r="O46" s="175"/>
    </row>
    <row r="47" spans="1:17" ht="17.25" thickBot="1">
      <c r="A47" s="5"/>
      <c r="B47" s="5"/>
      <c r="C47" s="5" t="s">
        <v>62</v>
      </c>
      <c r="K47" s="5"/>
      <c r="L47" s="5"/>
      <c r="M47" s="5"/>
      <c r="N47" s="5"/>
      <c r="O47" s="5"/>
      <c r="P47" s="5"/>
    </row>
    <row r="48" spans="1:17" ht="26.25">
      <c r="A48" s="5"/>
      <c r="B48" s="5"/>
      <c r="C48" s="376" t="s">
        <v>17</v>
      </c>
      <c r="D48" s="378" t="s">
        <v>60</v>
      </c>
      <c r="E48" s="378"/>
      <c r="F48" s="378"/>
      <c r="G48" s="378"/>
      <c r="H48" s="378"/>
      <c r="I48" s="378"/>
      <c r="J48" s="378"/>
      <c r="K48" s="378"/>
      <c r="L48" s="378"/>
      <c r="M48" s="378"/>
      <c r="N48" s="378"/>
      <c r="O48" s="378"/>
      <c r="P48" s="379"/>
    </row>
    <row r="49" spans="1:16">
      <c r="A49" s="5"/>
      <c r="B49" s="5"/>
      <c r="C49" s="377"/>
      <c r="D49" s="6" t="s">
        <v>48</v>
      </c>
      <c r="E49" s="6" t="s">
        <v>49</v>
      </c>
      <c r="F49" s="6" t="s">
        <v>50</v>
      </c>
      <c r="G49" s="6" t="s">
        <v>51</v>
      </c>
      <c r="H49" s="6" t="s">
        <v>52</v>
      </c>
      <c r="I49" s="6" t="s">
        <v>53</v>
      </c>
      <c r="J49" s="6" t="s">
        <v>54</v>
      </c>
      <c r="K49" s="6" t="s">
        <v>55</v>
      </c>
      <c r="L49" s="6" t="s">
        <v>56</v>
      </c>
      <c r="M49" s="6" t="s">
        <v>57</v>
      </c>
      <c r="N49" s="6" t="s">
        <v>58</v>
      </c>
      <c r="O49" s="6" t="s">
        <v>59</v>
      </c>
      <c r="P49" s="345" t="s">
        <v>38</v>
      </c>
    </row>
    <row r="50" spans="1:16">
      <c r="A50" s="5"/>
      <c r="B50" s="17"/>
      <c r="C50" s="346" t="s">
        <v>18</v>
      </c>
      <c r="D50" s="178">
        <v>882133010</v>
      </c>
      <c r="E50" s="178">
        <f>-409693660+12000+7195549</f>
        <v>-402486111</v>
      </c>
      <c r="F50" s="178"/>
      <c r="G50" s="178"/>
      <c r="H50" s="178"/>
      <c r="I50" s="178"/>
      <c r="J50" s="180"/>
      <c r="K50" s="180"/>
      <c r="L50" s="180"/>
      <c r="M50" s="181"/>
      <c r="N50" s="181"/>
      <c r="O50" s="181"/>
      <c r="P50" s="347">
        <f t="shared" ref="P50:P82" si="5">SUM(D50:O50)</f>
        <v>479646899</v>
      </c>
    </row>
    <row r="51" spans="1:16">
      <c r="A51" s="5"/>
      <c r="B51" s="17"/>
      <c r="C51" s="348" t="s">
        <v>45</v>
      </c>
      <c r="D51" s="364">
        <v>28753760</v>
      </c>
      <c r="E51" s="8">
        <v>-5916360</v>
      </c>
      <c r="F51" s="19"/>
      <c r="G51" s="19"/>
      <c r="H51" s="19"/>
      <c r="I51" s="18"/>
      <c r="J51" s="168"/>
      <c r="K51" s="168"/>
      <c r="L51" s="168"/>
      <c r="M51" s="8"/>
      <c r="N51" s="8"/>
      <c r="O51" s="8"/>
      <c r="P51" s="349">
        <f t="shared" si="5"/>
        <v>22837400</v>
      </c>
    </row>
    <row r="52" spans="1:16">
      <c r="A52" s="5"/>
      <c r="B52" s="5"/>
      <c r="C52" s="348" t="s">
        <v>46</v>
      </c>
      <c r="D52" s="364">
        <v>22546880</v>
      </c>
      <c r="E52" s="8">
        <v>-6420220</v>
      </c>
      <c r="F52" s="19"/>
      <c r="G52" s="19"/>
      <c r="H52" s="19"/>
      <c r="I52" s="18"/>
      <c r="J52" s="168"/>
      <c r="K52" s="168"/>
      <c r="L52" s="168"/>
      <c r="M52" s="8"/>
      <c r="N52" s="8"/>
      <c r="O52" s="8"/>
      <c r="P52" s="349">
        <f t="shared" si="5"/>
        <v>16126660</v>
      </c>
    </row>
    <row r="53" spans="1:16">
      <c r="A53" s="5"/>
      <c r="B53" s="5"/>
      <c r="C53" s="348" t="s">
        <v>44</v>
      </c>
      <c r="D53" s="364">
        <v>48476150</v>
      </c>
      <c r="E53" s="8">
        <v>-25239720</v>
      </c>
      <c r="F53" s="19"/>
      <c r="G53" s="19"/>
      <c r="H53" s="19"/>
      <c r="I53" s="18"/>
      <c r="J53" s="168"/>
      <c r="K53" s="168"/>
      <c r="L53" s="168"/>
      <c r="M53" s="8"/>
      <c r="N53" s="8"/>
      <c r="O53" s="8"/>
      <c r="P53" s="349">
        <f t="shared" si="5"/>
        <v>23236430</v>
      </c>
    </row>
    <row r="54" spans="1:16">
      <c r="A54" s="5"/>
      <c r="B54" s="5"/>
      <c r="C54" s="348" t="s">
        <v>19</v>
      </c>
      <c r="D54" s="364">
        <v>38830460</v>
      </c>
      <c r="E54" s="8">
        <v>-19403390</v>
      </c>
      <c r="F54" s="19"/>
      <c r="G54" s="19"/>
      <c r="H54" s="19"/>
      <c r="I54" s="18"/>
      <c r="J54" s="168"/>
      <c r="K54" s="168"/>
      <c r="L54" s="168"/>
      <c r="M54" s="8"/>
      <c r="N54" s="8"/>
      <c r="O54" s="8"/>
      <c r="P54" s="349">
        <f>SUM(D54:O54)</f>
        <v>19427070</v>
      </c>
    </row>
    <row r="55" spans="1:16">
      <c r="A55" s="5"/>
      <c r="B55" t="s">
        <v>529</v>
      </c>
      <c r="C55" s="348" t="s">
        <v>21</v>
      </c>
      <c r="D55" s="365">
        <v>54055252</v>
      </c>
      <c r="E55" s="8">
        <v>-19853260</v>
      </c>
      <c r="F55" s="19"/>
      <c r="G55" s="19"/>
      <c r="H55" s="19"/>
      <c r="I55" s="18"/>
      <c r="J55" s="168"/>
      <c r="K55" s="168"/>
      <c r="L55" s="168"/>
      <c r="M55" s="8"/>
      <c r="N55" s="8"/>
      <c r="O55" s="8"/>
      <c r="P55" s="349">
        <f>SUM(D55:O55)</f>
        <v>34201992</v>
      </c>
    </row>
    <row r="56" spans="1:16">
      <c r="A56" s="5"/>
      <c r="B56" t="s">
        <v>529</v>
      </c>
      <c r="C56" s="348" t="s">
        <v>20</v>
      </c>
      <c r="D56" s="365">
        <v>37362020</v>
      </c>
      <c r="E56" s="8">
        <v>-4704910</v>
      </c>
      <c r="F56" s="19"/>
      <c r="G56" s="19"/>
      <c r="H56" s="19"/>
      <c r="I56" s="18"/>
      <c r="J56" s="168"/>
      <c r="K56" s="168"/>
      <c r="L56" s="168"/>
      <c r="M56" s="8"/>
      <c r="N56" s="8"/>
      <c r="O56" s="8"/>
      <c r="P56" s="349">
        <f>SUM(D56:O56)</f>
        <v>32657110</v>
      </c>
    </row>
    <row r="57" spans="1:16">
      <c r="A57" s="5"/>
      <c r="B57" t="s">
        <v>529</v>
      </c>
      <c r="C57" s="348" t="s">
        <v>22</v>
      </c>
      <c r="D57" s="365">
        <v>28600402</v>
      </c>
      <c r="E57" s="8">
        <v>-7753910</v>
      </c>
      <c r="F57" s="19"/>
      <c r="G57" s="19"/>
      <c r="H57" s="19"/>
      <c r="I57" s="18"/>
      <c r="J57" s="168"/>
      <c r="K57" s="168"/>
      <c r="L57" s="168"/>
      <c r="M57" s="8"/>
      <c r="N57" s="8"/>
      <c r="O57" s="8"/>
      <c r="P57" s="349">
        <f>SUM(D57:O57)</f>
        <v>20846492</v>
      </c>
    </row>
    <row r="58" spans="1:16">
      <c r="A58" s="5"/>
      <c r="C58" s="348" t="s">
        <v>67</v>
      </c>
      <c r="D58" s="364">
        <v>18622070</v>
      </c>
      <c r="E58" s="8">
        <v>-3304980</v>
      </c>
      <c r="F58" s="19"/>
      <c r="G58" s="19"/>
      <c r="H58" s="19"/>
      <c r="I58" s="18"/>
      <c r="J58" s="168"/>
      <c r="K58" s="168"/>
      <c r="L58" s="168"/>
      <c r="M58" s="8"/>
      <c r="N58" s="8"/>
      <c r="O58" s="8"/>
      <c r="P58" s="349">
        <f>SUM(D58:O58)</f>
        <v>15317090</v>
      </c>
    </row>
    <row r="59" spans="1:16">
      <c r="A59" s="5"/>
      <c r="C59" s="348" t="s">
        <v>526</v>
      </c>
      <c r="D59" s="364">
        <v>16929210</v>
      </c>
      <c r="E59" s="8">
        <v>-8373980</v>
      </c>
      <c r="F59" s="19"/>
      <c r="G59" s="19"/>
      <c r="H59" s="19"/>
      <c r="I59" s="18"/>
      <c r="J59" s="168"/>
      <c r="K59" s="168"/>
      <c r="L59" s="168"/>
      <c r="M59" s="8"/>
      <c r="N59" s="8"/>
      <c r="O59" s="8"/>
      <c r="P59" s="349">
        <f t="shared" si="5"/>
        <v>8555230</v>
      </c>
    </row>
    <row r="60" spans="1:16">
      <c r="A60" s="5"/>
      <c r="C60" s="348" t="s">
        <v>527</v>
      </c>
      <c r="D60" s="364">
        <v>30256560</v>
      </c>
      <c r="E60" s="8">
        <v>-7157770</v>
      </c>
      <c r="F60" s="19"/>
      <c r="G60" s="19"/>
      <c r="H60" s="19"/>
      <c r="I60" s="18"/>
      <c r="J60" s="168"/>
      <c r="K60" s="168"/>
      <c r="L60" s="168"/>
      <c r="M60" s="8"/>
      <c r="N60" s="8"/>
      <c r="O60" s="8"/>
      <c r="P60" s="349">
        <f t="shared" si="5"/>
        <v>23098790</v>
      </c>
    </row>
    <row r="61" spans="1:16">
      <c r="A61" s="5"/>
      <c r="C61" s="348" t="s">
        <v>23</v>
      </c>
      <c r="D61" s="364">
        <v>28506320</v>
      </c>
      <c r="E61" s="8">
        <v>-20608500</v>
      </c>
      <c r="F61" s="19"/>
      <c r="G61" s="19"/>
      <c r="H61" s="19"/>
      <c r="I61" s="18"/>
      <c r="J61" s="168"/>
      <c r="K61" s="168"/>
      <c r="L61" s="168"/>
      <c r="M61" s="8"/>
      <c r="N61" s="8"/>
      <c r="O61" s="8"/>
      <c r="P61" s="349">
        <f t="shared" si="5"/>
        <v>7897820</v>
      </c>
    </row>
    <row r="62" spans="1:16">
      <c r="A62" s="5"/>
      <c r="C62" s="350" t="s">
        <v>24</v>
      </c>
      <c r="D62" s="8">
        <v>25511180</v>
      </c>
      <c r="E62" s="8">
        <v>-12079480</v>
      </c>
      <c r="F62" s="19"/>
      <c r="G62" s="19"/>
      <c r="H62" s="19"/>
      <c r="I62" s="19"/>
      <c r="J62" s="168"/>
      <c r="K62" s="168"/>
      <c r="L62" s="168"/>
      <c r="M62" s="8"/>
      <c r="N62" s="8"/>
      <c r="O62" s="8"/>
      <c r="P62" s="349">
        <f t="shared" si="5"/>
        <v>13431700</v>
      </c>
    </row>
    <row r="63" spans="1:16">
      <c r="A63" s="5"/>
      <c r="C63" s="350" t="s">
        <v>25</v>
      </c>
      <c r="D63" s="8">
        <v>25219330</v>
      </c>
      <c r="E63" s="8">
        <v>-19560300</v>
      </c>
      <c r="F63" s="19"/>
      <c r="G63" s="19"/>
      <c r="H63" s="19"/>
      <c r="I63" s="19"/>
      <c r="J63" s="168"/>
      <c r="K63" s="168"/>
      <c r="L63" s="168"/>
      <c r="M63" s="8"/>
      <c r="N63" s="8"/>
      <c r="O63" s="8"/>
      <c r="P63" s="349">
        <f t="shared" ref="P63" si="6">SUM(D63:O63)</f>
        <v>5659030</v>
      </c>
    </row>
    <row r="64" spans="1:16">
      <c r="A64" s="5"/>
      <c r="C64" s="348" t="s">
        <v>30</v>
      </c>
      <c r="D64" s="364">
        <v>6140020</v>
      </c>
      <c r="E64" s="8">
        <v>-6197310</v>
      </c>
      <c r="F64" s="19"/>
      <c r="G64" s="19"/>
      <c r="H64" s="19"/>
      <c r="I64" s="18"/>
      <c r="J64" s="168"/>
      <c r="K64" s="168"/>
      <c r="L64" s="168"/>
      <c r="M64" s="8"/>
      <c r="N64" s="8"/>
      <c r="O64" s="8"/>
      <c r="P64" s="349">
        <f>SUM(D64:O64)</f>
        <v>-57290</v>
      </c>
    </row>
    <row r="65" spans="1:16">
      <c r="A65" s="5"/>
      <c r="C65" s="348" t="s">
        <v>37</v>
      </c>
      <c r="D65" s="364">
        <v>15079350</v>
      </c>
      <c r="E65" s="8">
        <v>-11818500</v>
      </c>
      <c r="F65" s="19"/>
      <c r="G65" s="19"/>
      <c r="H65" s="19"/>
      <c r="I65" s="18"/>
      <c r="J65" s="168"/>
      <c r="K65" s="168"/>
      <c r="L65" s="168"/>
      <c r="M65" s="8"/>
      <c r="N65" s="8"/>
      <c r="O65" s="8"/>
      <c r="P65" s="349">
        <f t="shared" si="5"/>
        <v>3260850</v>
      </c>
    </row>
    <row r="66" spans="1:16">
      <c r="A66" s="5"/>
      <c r="C66" s="348" t="s">
        <v>28</v>
      </c>
      <c r="D66" s="364">
        <v>9880210</v>
      </c>
      <c r="E66" s="8">
        <v>-9034750</v>
      </c>
      <c r="F66" s="19"/>
      <c r="G66" s="19"/>
      <c r="H66" s="19"/>
      <c r="I66" s="18"/>
      <c r="J66" s="168"/>
      <c r="K66" s="168"/>
      <c r="L66" s="168"/>
      <c r="M66" s="8"/>
      <c r="N66" s="8"/>
      <c r="O66" s="8"/>
      <c r="P66" s="349">
        <f t="shared" si="5"/>
        <v>845460</v>
      </c>
    </row>
    <row r="67" spans="1:16">
      <c r="A67" s="5"/>
      <c r="B67" t="s">
        <v>530</v>
      </c>
      <c r="C67" s="348" t="s">
        <v>29</v>
      </c>
      <c r="D67" s="365">
        <v>12594091</v>
      </c>
      <c r="E67" s="8">
        <v>-5566460</v>
      </c>
      <c r="F67" s="19"/>
      <c r="G67" s="19"/>
      <c r="H67" s="19"/>
      <c r="I67" s="18"/>
      <c r="J67" s="168"/>
      <c r="K67" s="168"/>
      <c r="L67" s="168"/>
      <c r="M67" s="8"/>
      <c r="N67" s="8"/>
      <c r="O67" s="8"/>
      <c r="P67" s="349">
        <f t="shared" si="5"/>
        <v>7027631</v>
      </c>
    </row>
    <row r="68" spans="1:16">
      <c r="A68" s="5"/>
      <c r="B68" s="5"/>
      <c r="C68" s="348" t="s">
        <v>26</v>
      </c>
      <c r="D68" s="364">
        <v>11307530</v>
      </c>
      <c r="E68" s="8">
        <v>-2606050</v>
      </c>
      <c r="F68" s="19"/>
      <c r="G68" s="19"/>
      <c r="H68" s="19"/>
      <c r="I68" s="19"/>
      <c r="J68" s="168"/>
      <c r="K68" s="168"/>
      <c r="L68" s="168"/>
      <c r="M68" s="8"/>
      <c r="N68" s="8"/>
      <c r="O68" s="8"/>
      <c r="P68" s="349">
        <f t="shared" si="5"/>
        <v>8701480</v>
      </c>
    </row>
    <row r="69" spans="1:16">
      <c r="A69" s="5"/>
      <c r="B69" s="5"/>
      <c r="C69" s="348" t="s">
        <v>27</v>
      </c>
      <c r="D69" s="364">
        <v>13561910</v>
      </c>
      <c r="E69" s="8">
        <v>-3006280</v>
      </c>
      <c r="F69" s="19"/>
      <c r="G69" s="19"/>
      <c r="H69" s="19"/>
      <c r="I69" s="19"/>
      <c r="J69" s="168"/>
      <c r="K69" s="168"/>
      <c r="L69" s="168"/>
      <c r="M69" s="8"/>
      <c r="N69" s="8"/>
      <c r="O69" s="8"/>
      <c r="P69" s="349">
        <f t="shared" si="5"/>
        <v>10555630</v>
      </c>
    </row>
    <row r="70" spans="1:16">
      <c r="A70" s="5"/>
      <c r="B70" s="5"/>
      <c r="C70" s="348" t="s">
        <v>66</v>
      </c>
      <c r="D70" s="364">
        <v>26283360</v>
      </c>
      <c r="E70" s="8">
        <v>-8514680</v>
      </c>
      <c r="F70" s="19"/>
      <c r="G70" s="19"/>
      <c r="H70" s="19"/>
      <c r="I70" s="19"/>
      <c r="J70" s="168"/>
      <c r="K70" s="168"/>
      <c r="L70" s="168"/>
      <c r="M70" s="8"/>
      <c r="N70" s="8"/>
      <c r="O70" s="8"/>
      <c r="P70" s="349">
        <f t="shared" si="5"/>
        <v>17768680</v>
      </c>
    </row>
    <row r="71" spans="1:16">
      <c r="A71" s="5"/>
      <c r="B71" s="5"/>
      <c r="C71" s="348" t="s">
        <v>31</v>
      </c>
      <c r="D71" s="364">
        <v>43563050</v>
      </c>
      <c r="E71" s="8">
        <v>-30628420</v>
      </c>
      <c r="F71" s="19"/>
      <c r="G71" s="19"/>
      <c r="H71" s="19"/>
      <c r="I71" s="19"/>
      <c r="J71" s="168"/>
      <c r="K71" s="168"/>
      <c r="L71" s="168"/>
      <c r="M71" s="8"/>
      <c r="N71" s="8"/>
      <c r="O71" s="8"/>
      <c r="P71" s="349">
        <f t="shared" si="5"/>
        <v>12934630</v>
      </c>
    </row>
    <row r="72" spans="1:16">
      <c r="A72" s="5"/>
      <c r="B72" s="166"/>
      <c r="C72" s="348" t="s">
        <v>35</v>
      </c>
      <c r="D72" s="364">
        <v>25830580</v>
      </c>
      <c r="E72" s="8">
        <v>-2942700</v>
      </c>
      <c r="F72" s="19"/>
      <c r="G72" s="19"/>
      <c r="H72" s="19"/>
      <c r="I72" s="19"/>
      <c r="J72" s="168"/>
      <c r="K72" s="168"/>
      <c r="L72" s="168"/>
      <c r="M72" s="8"/>
      <c r="N72" s="8"/>
      <c r="O72" s="8"/>
      <c r="P72" s="349">
        <f t="shared" si="5"/>
        <v>22887880</v>
      </c>
    </row>
    <row r="73" spans="1:16">
      <c r="A73" s="5"/>
      <c r="B73" s="5"/>
      <c r="C73" s="348" t="s">
        <v>32</v>
      </c>
      <c r="D73" s="364">
        <v>40862020</v>
      </c>
      <c r="E73" s="8">
        <v>-17629190</v>
      </c>
      <c r="F73" s="19"/>
      <c r="G73" s="19"/>
      <c r="H73" s="19"/>
      <c r="I73" s="19"/>
      <c r="J73" s="168"/>
      <c r="K73" s="168"/>
      <c r="L73" s="168"/>
      <c r="M73" s="8"/>
      <c r="N73" s="8"/>
      <c r="O73" s="8"/>
      <c r="P73" s="349">
        <f t="shared" si="5"/>
        <v>23232830</v>
      </c>
    </row>
    <row r="74" spans="1:16">
      <c r="A74" s="5"/>
      <c r="B74" s="166"/>
      <c r="C74" s="350" t="s">
        <v>33</v>
      </c>
      <c r="D74" s="364">
        <v>25753790</v>
      </c>
      <c r="E74" s="8">
        <v>-11609310</v>
      </c>
      <c r="F74" s="19"/>
      <c r="G74" s="19"/>
      <c r="H74" s="19"/>
      <c r="I74" s="19"/>
      <c r="J74" s="168"/>
      <c r="K74" s="168"/>
      <c r="L74" s="168"/>
      <c r="M74" s="8"/>
      <c r="N74" s="8"/>
      <c r="O74" s="8"/>
      <c r="P74" s="349">
        <f t="shared" si="5"/>
        <v>14144480</v>
      </c>
    </row>
    <row r="75" spans="1:16">
      <c r="A75" s="5"/>
      <c r="B75" s="5"/>
      <c r="C75" s="350" t="s">
        <v>34</v>
      </c>
      <c r="D75" s="364">
        <v>26477580</v>
      </c>
      <c r="E75" s="8">
        <v>-11225040</v>
      </c>
      <c r="F75" s="19"/>
      <c r="G75" s="19"/>
      <c r="H75" s="19"/>
      <c r="I75" s="19"/>
      <c r="J75" s="168"/>
      <c r="K75" s="168"/>
      <c r="L75" s="168"/>
      <c r="M75" s="8"/>
      <c r="N75" s="8"/>
      <c r="O75" s="8"/>
      <c r="P75" s="349">
        <f t="shared" si="5"/>
        <v>15252540</v>
      </c>
    </row>
    <row r="76" spans="1:16">
      <c r="A76" s="5"/>
      <c r="B76" s="5"/>
      <c r="C76" s="350" t="s">
        <v>39</v>
      </c>
      <c r="D76" s="364">
        <v>50282680</v>
      </c>
      <c r="E76" s="8">
        <v>-8390770</v>
      </c>
      <c r="F76" s="19"/>
      <c r="G76" s="19"/>
      <c r="H76" s="19"/>
      <c r="I76" s="19"/>
      <c r="J76" s="168"/>
      <c r="K76" s="168"/>
      <c r="L76" s="168"/>
      <c r="M76" s="8"/>
      <c r="N76" s="8"/>
      <c r="O76" s="8"/>
      <c r="P76" s="349">
        <f t="shared" si="5"/>
        <v>41891910</v>
      </c>
    </row>
    <row r="77" spans="1:16">
      <c r="A77" s="5"/>
      <c r="B77" s="5"/>
      <c r="C77" s="350" t="s">
        <v>40</v>
      </c>
      <c r="D77" s="364">
        <v>24989650</v>
      </c>
      <c r="E77" s="8">
        <v>-4128090</v>
      </c>
      <c r="F77" s="19"/>
      <c r="G77" s="19"/>
      <c r="H77" s="19"/>
      <c r="I77" s="19"/>
      <c r="J77" s="168"/>
      <c r="K77" s="168"/>
      <c r="L77" s="168"/>
      <c r="M77" s="8"/>
      <c r="N77" s="8"/>
      <c r="O77" s="8"/>
      <c r="P77" s="349">
        <f t="shared" si="5"/>
        <v>20861560</v>
      </c>
    </row>
    <row r="78" spans="1:16">
      <c r="A78" s="5"/>
      <c r="B78" s="5"/>
      <c r="C78" s="350" t="s">
        <v>41</v>
      </c>
      <c r="D78" s="364">
        <v>19926060</v>
      </c>
      <c r="E78" s="8">
        <v>-14102770</v>
      </c>
      <c r="F78" s="19"/>
      <c r="G78" s="19"/>
      <c r="H78" s="19"/>
      <c r="I78" s="19"/>
      <c r="J78" s="168"/>
      <c r="K78" s="168"/>
      <c r="L78" s="168"/>
      <c r="M78" s="8"/>
      <c r="N78" s="8"/>
      <c r="O78" s="8"/>
      <c r="P78" s="349">
        <f t="shared" si="5"/>
        <v>5823290</v>
      </c>
    </row>
    <row r="79" spans="1:16">
      <c r="A79" s="5"/>
      <c r="B79" s="5"/>
      <c r="C79" s="348" t="s">
        <v>42</v>
      </c>
      <c r="D79" s="364">
        <v>15028620</v>
      </c>
      <c r="E79" s="8">
        <v>-18029250</v>
      </c>
      <c r="F79" s="19"/>
      <c r="G79" s="19"/>
      <c r="H79" s="19"/>
      <c r="I79" s="19"/>
      <c r="J79" s="168"/>
      <c r="K79" s="168"/>
      <c r="L79" s="168"/>
      <c r="M79" s="8"/>
      <c r="N79" s="8"/>
      <c r="O79" s="8"/>
      <c r="P79" s="349">
        <f t="shared" si="5"/>
        <v>-3000630</v>
      </c>
    </row>
    <row r="80" spans="1:16">
      <c r="A80" s="5"/>
      <c r="B80" s="5"/>
      <c r="C80" s="348" t="s">
        <v>43</v>
      </c>
      <c r="D80" s="364">
        <v>13770320</v>
      </c>
      <c r="E80" s="8">
        <v>-9634560</v>
      </c>
      <c r="F80" s="19"/>
      <c r="G80" s="19"/>
      <c r="H80" s="19"/>
      <c r="I80" s="19"/>
      <c r="J80" s="168"/>
      <c r="K80" s="168"/>
      <c r="L80" s="168"/>
      <c r="M80" s="8"/>
      <c r="N80" s="8"/>
      <c r="O80" s="8"/>
      <c r="P80" s="349">
        <f t="shared" si="5"/>
        <v>4135760</v>
      </c>
    </row>
    <row r="81" spans="1:17">
      <c r="A81" s="5"/>
      <c r="B81" s="5"/>
      <c r="C81" s="348" t="s">
        <v>65</v>
      </c>
      <c r="D81" s="364">
        <v>28981560</v>
      </c>
      <c r="E81" s="8">
        <v>-7947290</v>
      </c>
      <c r="F81" s="19"/>
      <c r="G81" s="19"/>
      <c r="H81" s="19"/>
      <c r="I81" s="19"/>
      <c r="J81" s="168"/>
      <c r="K81" s="168"/>
      <c r="L81" s="168"/>
      <c r="M81" s="8"/>
      <c r="N81" s="8"/>
      <c r="O81" s="8"/>
      <c r="P81" s="349">
        <f t="shared" si="5"/>
        <v>21034270</v>
      </c>
    </row>
    <row r="82" spans="1:17">
      <c r="A82" s="5"/>
      <c r="B82" s="5"/>
      <c r="C82" s="348" t="s">
        <v>528</v>
      </c>
      <c r="D82" s="364">
        <v>21754550</v>
      </c>
      <c r="E82" s="8">
        <v>-10071260</v>
      </c>
      <c r="F82" s="19"/>
      <c r="G82" s="19"/>
      <c r="H82" s="19"/>
      <c r="I82" s="19"/>
      <c r="J82" s="168"/>
      <c r="K82" s="168"/>
      <c r="L82" s="168"/>
      <c r="M82" s="8"/>
      <c r="N82" s="8"/>
      <c r="O82" s="8"/>
      <c r="P82" s="349">
        <f t="shared" si="5"/>
        <v>11683290</v>
      </c>
    </row>
    <row r="83" spans="1:17" ht="17.25" thickBot="1">
      <c r="A83" s="5"/>
      <c r="B83" s="5"/>
      <c r="C83" s="351" t="s">
        <v>36</v>
      </c>
      <c r="D83" s="352">
        <f t="shared" ref="D83:O83" si="7">SUM(D50:D82)</f>
        <v>1717869535</v>
      </c>
      <c r="E83" s="352">
        <f t="shared" si="7"/>
        <v>-755945571</v>
      </c>
      <c r="F83" s="352">
        <f t="shared" si="7"/>
        <v>0</v>
      </c>
      <c r="G83" s="352">
        <f t="shared" si="7"/>
        <v>0</v>
      </c>
      <c r="H83" s="352">
        <f t="shared" si="7"/>
        <v>0</v>
      </c>
      <c r="I83" s="352">
        <f t="shared" si="7"/>
        <v>0</v>
      </c>
      <c r="J83" s="352">
        <f t="shared" si="7"/>
        <v>0</v>
      </c>
      <c r="K83" s="352">
        <f t="shared" si="7"/>
        <v>0</v>
      </c>
      <c r="L83" s="352">
        <f t="shared" si="7"/>
        <v>0</v>
      </c>
      <c r="M83" s="352">
        <f>SUM(M50:M82)</f>
        <v>0</v>
      </c>
      <c r="N83" s="352">
        <f t="shared" si="7"/>
        <v>0</v>
      </c>
      <c r="O83" s="352">
        <f t="shared" si="7"/>
        <v>0</v>
      </c>
      <c r="P83" s="353">
        <f>SUM(P50:P82)</f>
        <v>961923964</v>
      </c>
    </row>
    <row r="84" spans="1:17">
      <c r="M84" s="175"/>
      <c r="N84" s="175"/>
      <c r="O84" s="342"/>
      <c r="P84" s="343" t="b">
        <f>SUM(D83:O83)=P83</f>
        <v>1</v>
      </c>
      <c r="Q84" s="344"/>
    </row>
    <row r="85" spans="1:17">
      <c r="O85" s="344"/>
      <c r="P85" s="344"/>
      <c r="Q85" s="344"/>
    </row>
    <row r="86" spans="1:17">
      <c r="O86" s="344"/>
      <c r="P86" s="344"/>
      <c r="Q86" s="344"/>
    </row>
  </sheetData>
  <mergeCells count="4">
    <mergeCell ref="C3:C4"/>
    <mergeCell ref="C48:C49"/>
    <mergeCell ref="D48:P48"/>
    <mergeCell ref="D3:P3"/>
  </mergeCells>
  <phoneticPr fontId="8" type="noConversion"/>
  <pageMargins left="0.7" right="0.7" top="0.75" bottom="0.75" header="0.3" footer="0.3"/>
  <pageSetup paperSize="9" scale="63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5"/>
  <sheetViews>
    <sheetView workbookViewId="0">
      <selection activeCell="F28" sqref="F28"/>
    </sheetView>
  </sheetViews>
  <sheetFormatPr defaultRowHeight="16.5"/>
  <cols>
    <col min="1" max="1" width="4.125" customWidth="1"/>
    <col min="2" max="2" width="6.5" customWidth="1"/>
    <col min="3" max="3" width="13.375" customWidth="1"/>
    <col min="4" max="4" width="24.5" customWidth="1"/>
    <col min="5" max="5" width="83.75" style="46" customWidth="1"/>
    <col min="6" max="6" width="12.5" customWidth="1"/>
    <col min="7" max="7" width="18.75" customWidth="1"/>
  </cols>
  <sheetData>
    <row r="1" spans="1:10" ht="21" thickBot="1">
      <c r="A1" s="69" t="s">
        <v>227</v>
      </c>
      <c r="B1" s="69"/>
      <c r="C1" s="69"/>
      <c r="D1" s="69"/>
      <c r="E1" s="69"/>
      <c r="F1" s="69"/>
      <c r="G1" s="69"/>
      <c r="H1" s="69"/>
      <c r="I1" s="69"/>
      <c r="J1" s="69"/>
    </row>
    <row r="2" spans="1:10">
      <c r="A2" s="25" t="s">
        <v>164</v>
      </c>
      <c r="B2" s="26" t="s">
        <v>72</v>
      </c>
      <c r="C2" s="26" t="s">
        <v>73</v>
      </c>
      <c r="D2" s="26" t="s">
        <v>74</v>
      </c>
      <c r="E2" s="26" t="s">
        <v>75</v>
      </c>
      <c r="F2" s="26" t="s">
        <v>76</v>
      </c>
      <c r="G2" s="26" t="s">
        <v>77</v>
      </c>
      <c r="H2" s="26" t="s">
        <v>78</v>
      </c>
      <c r="I2" s="26" t="s">
        <v>79</v>
      </c>
      <c r="J2" s="27" t="s">
        <v>80</v>
      </c>
    </row>
    <row r="3" spans="1:10" ht="22.5">
      <c r="A3" s="28">
        <v>1</v>
      </c>
      <c r="B3" s="29" t="s">
        <v>81</v>
      </c>
      <c r="C3" s="29" t="s">
        <v>82</v>
      </c>
      <c r="D3" s="29" t="s">
        <v>83</v>
      </c>
      <c r="E3" s="43" t="s">
        <v>84</v>
      </c>
      <c r="F3" s="30">
        <v>5968250</v>
      </c>
      <c r="G3" s="29" t="s">
        <v>85</v>
      </c>
      <c r="H3" s="29" t="s">
        <v>86</v>
      </c>
      <c r="I3" s="29" t="s">
        <v>87</v>
      </c>
      <c r="J3" s="31" t="s">
        <v>88</v>
      </c>
    </row>
    <row r="4" spans="1:10" ht="22.5">
      <c r="A4" s="28">
        <v>2</v>
      </c>
      <c r="B4" s="29" t="s">
        <v>81</v>
      </c>
      <c r="C4" s="29" t="s">
        <v>82</v>
      </c>
      <c r="D4" s="29" t="s">
        <v>83</v>
      </c>
      <c r="E4" s="43" t="s">
        <v>89</v>
      </c>
      <c r="F4" s="30">
        <v>723000</v>
      </c>
      <c r="G4" s="29" t="s">
        <v>90</v>
      </c>
      <c r="H4" s="29" t="s">
        <v>91</v>
      </c>
      <c r="I4" s="29" t="s">
        <v>92</v>
      </c>
      <c r="J4" s="31" t="s">
        <v>93</v>
      </c>
    </row>
    <row r="5" spans="1:10" ht="22.5">
      <c r="A5" s="28">
        <v>3</v>
      </c>
      <c r="B5" s="29" t="s">
        <v>81</v>
      </c>
      <c r="C5" s="29" t="s">
        <v>82</v>
      </c>
      <c r="D5" s="29" t="s">
        <v>83</v>
      </c>
      <c r="E5" s="43" t="s">
        <v>94</v>
      </c>
      <c r="F5" s="30">
        <v>338250</v>
      </c>
      <c r="G5" s="29" t="s">
        <v>95</v>
      </c>
      <c r="H5" s="29" t="s">
        <v>96</v>
      </c>
      <c r="I5" s="29" t="s">
        <v>97</v>
      </c>
      <c r="J5" s="31" t="s">
        <v>98</v>
      </c>
    </row>
    <row r="6" spans="1:10" ht="22.5">
      <c r="A6" s="28">
        <v>4</v>
      </c>
      <c r="B6" s="29" t="s">
        <v>81</v>
      </c>
      <c r="C6" s="29" t="s">
        <v>82</v>
      </c>
      <c r="D6" s="29" t="s">
        <v>83</v>
      </c>
      <c r="E6" s="43" t="s">
        <v>99</v>
      </c>
      <c r="F6" s="30">
        <v>397000</v>
      </c>
      <c r="G6" s="29" t="s">
        <v>100</v>
      </c>
      <c r="H6" s="29" t="s">
        <v>101</v>
      </c>
      <c r="I6" s="29" t="s">
        <v>102</v>
      </c>
      <c r="J6" s="31" t="s">
        <v>103</v>
      </c>
    </row>
    <row r="7" spans="1:10" ht="22.5">
      <c r="A7" s="28">
        <v>5</v>
      </c>
      <c r="B7" s="29" t="s">
        <v>81</v>
      </c>
      <c r="C7" s="29" t="s">
        <v>82</v>
      </c>
      <c r="D7" s="29" t="s">
        <v>83</v>
      </c>
      <c r="E7" s="43" t="s">
        <v>104</v>
      </c>
      <c r="F7" s="30">
        <v>527500</v>
      </c>
      <c r="G7" s="29" t="s">
        <v>105</v>
      </c>
      <c r="H7" s="29" t="s">
        <v>101</v>
      </c>
      <c r="I7" s="29" t="s">
        <v>106</v>
      </c>
      <c r="J7" s="31" t="s">
        <v>107</v>
      </c>
    </row>
    <row r="8" spans="1:10" ht="22.5">
      <c r="A8" s="28">
        <v>6</v>
      </c>
      <c r="B8" s="29" t="s">
        <v>81</v>
      </c>
      <c r="C8" s="29" t="s">
        <v>82</v>
      </c>
      <c r="D8" s="29" t="s">
        <v>83</v>
      </c>
      <c r="E8" s="43" t="s">
        <v>108</v>
      </c>
      <c r="F8" s="30">
        <v>823500</v>
      </c>
      <c r="G8" s="29" t="s">
        <v>109</v>
      </c>
      <c r="H8" s="29" t="s">
        <v>110</v>
      </c>
      <c r="I8" s="29" t="s">
        <v>111</v>
      </c>
      <c r="J8" s="31" t="s">
        <v>112</v>
      </c>
    </row>
    <row r="9" spans="1:10" ht="22.5">
      <c r="A9" s="28">
        <v>7</v>
      </c>
      <c r="B9" s="29" t="s">
        <v>81</v>
      </c>
      <c r="C9" s="29" t="s">
        <v>82</v>
      </c>
      <c r="D9" s="29" t="s">
        <v>83</v>
      </c>
      <c r="E9" s="43" t="s">
        <v>113</v>
      </c>
      <c r="F9" s="30">
        <v>717250</v>
      </c>
      <c r="G9" s="29" t="s">
        <v>114</v>
      </c>
      <c r="H9" s="29" t="s">
        <v>110</v>
      </c>
      <c r="I9" s="29" t="s">
        <v>115</v>
      </c>
      <c r="J9" s="31" t="s">
        <v>116</v>
      </c>
    </row>
    <row r="10" spans="1:10" ht="22.5">
      <c r="A10" s="28">
        <v>8</v>
      </c>
      <c r="B10" s="29" t="s">
        <v>81</v>
      </c>
      <c r="C10" s="29" t="s">
        <v>82</v>
      </c>
      <c r="D10" s="29" t="s">
        <v>83</v>
      </c>
      <c r="E10" s="43" t="s">
        <v>117</v>
      </c>
      <c r="F10" s="30">
        <v>655000</v>
      </c>
      <c r="G10" s="29" t="s">
        <v>118</v>
      </c>
      <c r="H10" s="29" t="s">
        <v>110</v>
      </c>
      <c r="I10" s="29" t="s">
        <v>119</v>
      </c>
      <c r="J10" s="31" t="s">
        <v>120</v>
      </c>
    </row>
    <row r="11" spans="1:10" ht="22.5">
      <c r="A11" s="28">
        <v>9</v>
      </c>
      <c r="B11" s="29" t="s">
        <v>81</v>
      </c>
      <c r="C11" s="29" t="s">
        <v>82</v>
      </c>
      <c r="D11" s="29" t="s">
        <v>83</v>
      </c>
      <c r="E11" s="43" t="s">
        <v>121</v>
      </c>
      <c r="F11" s="30">
        <v>362250</v>
      </c>
      <c r="G11" s="29" t="s">
        <v>122</v>
      </c>
      <c r="H11" s="29" t="s">
        <v>123</v>
      </c>
      <c r="I11" s="29" t="s">
        <v>124</v>
      </c>
      <c r="J11" s="31" t="s">
        <v>125</v>
      </c>
    </row>
    <row r="12" spans="1:10" ht="22.5">
      <c r="A12" s="28">
        <v>10</v>
      </c>
      <c r="B12" s="29" t="s">
        <v>81</v>
      </c>
      <c r="C12" s="29" t="s">
        <v>82</v>
      </c>
      <c r="D12" s="29" t="s">
        <v>83</v>
      </c>
      <c r="E12" s="43" t="s">
        <v>126</v>
      </c>
      <c r="F12" s="30">
        <v>416250</v>
      </c>
      <c r="G12" s="29" t="s">
        <v>127</v>
      </c>
      <c r="H12" s="29" t="s">
        <v>128</v>
      </c>
      <c r="I12" s="29" t="s">
        <v>129</v>
      </c>
      <c r="J12" s="31" t="s">
        <v>130</v>
      </c>
    </row>
    <row r="13" spans="1:10" ht="22.5">
      <c r="A13" s="28">
        <v>11</v>
      </c>
      <c r="B13" s="29" t="s">
        <v>81</v>
      </c>
      <c r="C13" s="29" t="s">
        <v>82</v>
      </c>
      <c r="D13" s="29" t="s">
        <v>83</v>
      </c>
      <c r="E13" s="43" t="s">
        <v>131</v>
      </c>
      <c r="F13" s="30">
        <v>565250</v>
      </c>
      <c r="G13" s="29" t="s">
        <v>132</v>
      </c>
      <c r="H13" s="29" t="s">
        <v>128</v>
      </c>
      <c r="I13" s="29" t="s">
        <v>133</v>
      </c>
      <c r="J13" s="31" t="s">
        <v>134</v>
      </c>
    </row>
    <row r="14" spans="1:10" ht="22.5">
      <c r="A14" s="28">
        <v>12</v>
      </c>
      <c r="B14" s="29" t="s">
        <v>81</v>
      </c>
      <c r="C14" s="29" t="s">
        <v>82</v>
      </c>
      <c r="D14" s="29" t="s">
        <v>83</v>
      </c>
      <c r="E14" s="43" t="s">
        <v>135</v>
      </c>
      <c r="F14" s="30">
        <v>567000</v>
      </c>
      <c r="G14" s="29" t="s">
        <v>136</v>
      </c>
      <c r="H14" s="29" t="s">
        <v>137</v>
      </c>
      <c r="I14" s="29" t="s">
        <v>115</v>
      </c>
      <c r="J14" s="31" t="s">
        <v>138</v>
      </c>
    </row>
    <row r="15" spans="1:10" ht="22.5">
      <c r="A15" s="28">
        <v>13</v>
      </c>
      <c r="B15" s="29" t="s">
        <v>81</v>
      </c>
      <c r="C15" s="29" t="s">
        <v>82</v>
      </c>
      <c r="D15" s="29" t="s">
        <v>83</v>
      </c>
      <c r="E15" s="43" t="s">
        <v>139</v>
      </c>
      <c r="F15" s="30">
        <v>320750</v>
      </c>
      <c r="G15" s="29" t="s">
        <v>140</v>
      </c>
      <c r="H15" s="29" t="s">
        <v>141</v>
      </c>
      <c r="I15" s="29" t="s">
        <v>142</v>
      </c>
      <c r="J15" s="31" t="s">
        <v>143</v>
      </c>
    </row>
    <row r="16" spans="1:10" ht="22.5">
      <c r="A16" s="28">
        <v>14</v>
      </c>
      <c r="B16" s="29" t="s">
        <v>81</v>
      </c>
      <c r="C16" s="29" t="s">
        <v>82</v>
      </c>
      <c r="D16" s="29" t="s">
        <v>83</v>
      </c>
      <c r="E16" s="43" t="s">
        <v>144</v>
      </c>
      <c r="F16" s="30">
        <v>478250</v>
      </c>
      <c r="G16" s="29" t="s">
        <v>145</v>
      </c>
      <c r="H16" s="29" t="s">
        <v>141</v>
      </c>
      <c r="I16" s="29" t="s">
        <v>106</v>
      </c>
      <c r="J16" s="31" t="s">
        <v>146</v>
      </c>
    </row>
    <row r="17" spans="1:10" ht="22.5">
      <c r="A17" s="28">
        <v>15</v>
      </c>
      <c r="B17" s="29" t="s">
        <v>81</v>
      </c>
      <c r="C17" s="29" t="s">
        <v>82</v>
      </c>
      <c r="D17" s="29" t="s">
        <v>83</v>
      </c>
      <c r="E17" s="43" t="s">
        <v>147</v>
      </c>
      <c r="F17" s="30">
        <v>1383500</v>
      </c>
      <c r="G17" s="29" t="s">
        <v>148</v>
      </c>
      <c r="H17" s="29" t="s">
        <v>141</v>
      </c>
      <c r="I17" s="29" t="s">
        <v>119</v>
      </c>
      <c r="J17" s="31" t="s">
        <v>149</v>
      </c>
    </row>
    <row r="18" spans="1:10" ht="22.5">
      <c r="A18" s="28">
        <v>16</v>
      </c>
      <c r="B18" s="29" t="s">
        <v>81</v>
      </c>
      <c r="C18" s="29" t="s">
        <v>82</v>
      </c>
      <c r="D18" s="29" t="s">
        <v>83</v>
      </c>
      <c r="E18" s="43" t="s">
        <v>150</v>
      </c>
      <c r="F18" s="30">
        <v>220000</v>
      </c>
      <c r="G18" s="29" t="s">
        <v>151</v>
      </c>
      <c r="H18" s="29" t="s">
        <v>152</v>
      </c>
      <c r="I18" s="29" t="s">
        <v>153</v>
      </c>
      <c r="J18" s="31" t="s">
        <v>154</v>
      </c>
    </row>
    <row r="19" spans="1:10" ht="22.5">
      <c r="A19" s="28">
        <v>17</v>
      </c>
      <c r="B19" s="29" t="s">
        <v>81</v>
      </c>
      <c r="C19" s="29" t="s">
        <v>82</v>
      </c>
      <c r="D19" s="29" t="s">
        <v>83</v>
      </c>
      <c r="E19" s="43" t="s">
        <v>155</v>
      </c>
      <c r="F19" s="30">
        <v>700500</v>
      </c>
      <c r="G19" s="29" t="s">
        <v>156</v>
      </c>
      <c r="H19" s="29" t="s">
        <v>152</v>
      </c>
      <c r="I19" s="29" t="s">
        <v>157</v>
      </c>
      <c r="J19" s="31" t="s">
        <v>158</v>
      </c>
    </row>
    <row r="20" spans="1:10">
      <c r="A20" s="32">
        <v>18</v>
      </c>
      <c r="B20" s="29" t="s">
        <v>81</v>
      </c>
      <c r="C20" s="29" t="s">
        <v>82</v>
      </c>
      <c r="D20" s="29" t="s">
        <v>83</v>
      </c>
      <c r="E20" s="44" t="s">
        <v>159</v>
      </c>
      <c r="F20" s="33">
        <v>594000</v>
      </c>
      <c r="G20" s="34"/>
      <c r="H20" s="35">
        <v>44803</v>
      </c>
      <c r="I20" s="34"/>
      <c r="J20" s="36"/>
    </row>
    <row r="21" spans="1:10">
      <c r="A21" s="32">
        <v>19</v>
      </c>
      <c r="B21" s="29" t="s">
        <v>81</v>
      </c>
      <c r="C21" s="29" t="s">
        <v>82</v>
      </c>
      <c r="D21" s="29" t="s">
        <v>83</v>
      </c>
      <c r="E21" s="44" t="s">
        <v>159</v>
      </c>
      <c r="F21" s="33">
        <v>2144750</v>
      </c>
      <c r="G21" s="34"/>
      <c r="H21" s="35">
        <v>44803</v>
      </c>
      <c r="I21" s="34"/>
      <c r="J21" s="36"/>
    </row>
    <row r="22" spans="1:10">
      <c r="A22" s="32">
        <v>20</v>
      </c>
      <c r="B22" s="29" t="s">
        <v>81</v>
      </c>
      <c r="C22" s="29" t="s">
        <v>82</v>
      </c>
      <c r="D22" s="29" t="s">
        <v>83</v>
      </c>
      <c r="E22" s="44" t="s">
        <v>160</v>
      </c>
      <c r="F22" s="33">
        <v>428000</v>
      </c>
      <c r="G22" s="34"/>
      <c r="H22" s="35">
        <v>44802</v>
      </c>
      <c r="I22" s="34"/>
      <c r="J22" s="36"/>
    </row>
    <row r="23" spans="1:10">
      <c r="A23" s="32">
        <v>21</v>
      </c>
      <c r="B23" s="29" t="s">
        <v>81</v>
      </c>
      <c r="C23" s="29" t="s">
        <v>82</v>
      </c>
      <c r="D23" s="29" t="s">
        <v>83</v>
      </c>
      <c r="E23" s="44" t="s">
        <v>161</v>
      </c>
      <c r="F23" s="33">
        <v>656250</v>
      </c>
      <c r="G23" s="34"/>
      <c r="H23" s="35">
        <v>44798</v>
      </c>
      <c r="I23" s="34"/>
      <c r="J23" s="36"/>
    </row>
    <row r="24" spans="1:10">
      <c r="A24" s="32">
        <v>22</v>
      </c>
      <c r="B24" s="29" t="s">
        <v>81</v>
      </c>
      <c r="C24" s="29" t="s">
        <v>82</v>
      </c>
      <c r="D24" s="29" t="s">
        <v>83</v>
      </c>
      <c r="E24" s="44" t="s">
        <v>162</v>
      </c>
      <c r="F24" s="33">
        <v>1002000</v>
      </c>
      <c r="G24" s="34"/>
      <c r="H24" s="35">
        <v>44790</v>
      </c>
      <c r="I24" s="34"/>
      <c r="J24" s="36"/>
    </row>
    <row r="25" spans="1:10">
      <c r="A25" s="32">
        <v>23</v>
      </c>
      <c r="B25" s="29" t="s">
        <v>81</v>
      </c>
      <c r="C25" s="29" t="s">
        <v>82</v>
      </c>
      <c r="D25" s="29" t="s">
        <v>83</v>
      </c>
      <c r="E25" s="44" t="s">
        <v>160</v>
      </c>
      <c r="F25" s="33">
        <v>865250</v>
      </c>
      <c r="G25" s="34"/>
      <c r="H25" s="35">
        <v>44784</v>
      </c>
      <c r="I25" s="34"/>
      <c r="J25" s="36"/>
    </row>
    <row r="26" spans="1:10">
      <c r="A26" s="32">
        <v>24</v>
      </c>
      <c r="B26" s="29" t="s">
        <v>81</v>
      </c>
      <c r="C26" s="29" t="s">
        <v>82</v>
      </c>
      <c r="D26" s="29" t="s">
        <v>83</v>
      </c>
      <c r="E26" s="44" t="s">
        <v>159</v>
      </c>
      <c r="F26" s="33">
        <v>526750</v>
      </c>
      <c r="G26" s="34"/>
      <c r="H26" s="35">
        <v>44783</v>
      </c>
      <c r="I26" s="34"/>
      <c r="J26" s="36"/>
    </row>
    <row r="27" spans="1:10" ht="17.25" thickBot="1">
      <c r="A27" s="37">
        <v>25</v>
      </c>
      <c r="B27" s="38" t="s">
        <v>81</v>
      </c>
      <c r="C27" s="38" t="s">
        <v>82</v>
      </c>
      <c r="D27" s="38" t="s">
        <v>83</v>
      </c>
      <c r="E27" s="45" t="s">
        <v>163</v>
      </c>
      <c r="F27" s="39">
        <v>618250</v>
      </c>
      <c r="G27" s="40"/>
      <c r="H27" s="41">
        <v>44782</v>
      </c>
      <c r="I27" s="40"/>
      <c r="J27" s="42"/>
    </row>
    <row r="28" spans="1:10">
      <c r="A28" s="63"/>
      <c r="B28" s="64"/>
      <c r="C28" s="64"/>
      <c r="D28" s="70" t="b">
        <f>D29=A27</f>
        <v>1</v>
      </c>
      <c r="E28" s="65"/>
      <c r="F28" s="68"/>
      <c r="G28" s="66"/>
      <c r="H28" s="67"/>
      <c r="I28" s="66"/>
      <c r="J28" s="66"/>
    </row>
    <row r="29" spans="1:10" ht="17.25" thickBot="1">
      <c r="D29" s="62">
        <f>COUNTA(D31:D65)</f>
        <v>25</v>
      </c>
    </row>
    <row r="30" spans="1:10" ht="18" thickBot="1">
      <c r="D30" s="47" t="s">
        <v>165</v>
      </c>
      <c r="E30" s="48" t="s">
        <v>166</v>
      </c>
    </row>
    <row r="31" spans="1:10" ht="18" thickTop="1" thickBot="1">
      <c r="D31" s="49" t="s">
        <v>167</v>
      </c>
      <c r="E31" s="50" t="s">
        <v>168</v>
      </c>
    </row>
    <row r="32" spans="1:10" ht="17.25" thickBot="1">
      <c r="D32" s="51" t="s">
        <v>169</v>
      </c>
      <c r="E32" s="52" t="s">
        <v>170</v>
      </c>
    </row>
    <row r="33" spans="4:5">
      <c r="D33" s="380" t="s">
        <v>171</v>
      </c>
      <c r="E33" s="53" t="s">
        <v>172</v>
      </c>
    </row>
    <row r="34" spans="4:5">
      <c r="D34" s="381"/>
      <c r="E34" s="54" t="s">
        <v>173</v>
      </c>
    </row>
    <row r="35" spans="4:5">
      <c r="D35" s="381"/>
      <c r="E35" s="54" t="s">
        <v>174</v>
      </c>
    </row>
    <row r="36" spans="4:5">
      <c r="D36" s="381"/>
      <c r="E36" s="54" t="s">
        <v>175</v>
      </c>
    </row>
    <row r="37" spans="4:5">
      <c r="D37" s="381"/>
      <c r="E37" s="54" t="s">
        <v>176</v>
      </c>
    </row>
    <row r="38" spans="4:5">
      <c r="D38" s="381"/>
      <c r="E38" s="54" t="s">
        <v>177</v>
      </c>
    </row>
    <row r="39" spans="4:5" ht="17.25" thickBot="1">
      <c r="D39" s="382"/>
      <c r="E39" s="55" t="s">
        <v>178</v>
      </c>
    </row>
    <row r="40" spans="4:5">
      <c r="D40" s="380" t="s">
        <v>179</v>
      </c>
      <c r="E40" s="53" t="s">
        <v>180</v>
      </c>
    </row>
    <row r="41" spans="4:5" ht="17.25" thickBot="1">
      <c r="D41" s="381"/>
      <c r="E41" s="54" t="s">
        <v>181</v>
      </c>
    </row>
    <row r="42" spans="4:5">
      <c r="D42" s="380" t="s">
        <v>182</v>
      </c>
      <c r="E42" s="53" t="s">
        <v>183</v>
      </c>
    </row>
    <row r="43" spans="4:5" ht="17.25" thickBot="1">
      <c r="D43" s="382"/>
      <c r="E43" s="55" t="s">
        <v>184</v>
      </c>
    </row>
    <row r="44" spans="4:5">
      <c r="D44" s="380" t="s">
        <v>185</v>
      </c>
      <c r="E44" s="53" t="s">
        <v>186</v>
      </c>
    </row>
    <row r="45" spans="4:5">
      <c r="D45" s="381"/>
      <c r="E45" s="56" t="s">
        <v>187</v>
      </c>
    </row>
    <row r="46" spans="4:5" ht="17.25" thickBot="1">
      <c r="D46" s="382"/>
      <c r="E46" s="50" t="s">
        <v>188</v>
      </c>
    </row>
    <row r="47" spans="4:5">
      <c r="D47" s="57" t="s">
        <v>189</v>
      </c>
      <c r="E47" s="56" t="s">
        <v>190</v>
      </c>
    </row>
    <row r="48" spans="4:5">
      <c r="D48" s="58" t="s">
        <v>191</v>
      </c>
      <c r="E48" s="59" t="s">
        <v>192</v>
      </c>
    </row>
    <row r="49" spans="4:5">
      <c r="D49" s="60" t="s">
        <v>193</v>
      </c>
      <c r="E49" s="54" t="s">
        <v>194</v>
      </c>
    </row>
    <row r="50" spans="4:5">
      <c r="D50" s="60" t="s">
        <v>195</v>
      </c>
      <c r="E50" s="54" t="s">
        <v>196</v>
      </c>
    </row>
    <row r="51" spans="4:5">
      <c r="D51" s="60" t="s">
        <v>197</v>
      </c>
      <c r="E51" s="54" t="s">
        <v>198</v>
      </c>
    </row>
    <row r="52" spans="4:5">
      <c r="D52" s="60" t="s">
        <v>199</v>
      </c>
      <c r="E52" s="54" t="s">
        <v>200</v>
      </c>
    </row>
    <row r="53" spans="4:5">
      <c r="D53" s="58" t="s">
        <v>201</v>
      </c>
      <c r="E53" s="59" t="s">
        <v>202</v>
      </c>
    </row>
    <row r="54" spans="4:5">
      <c r="D54" s="60" t="s">
        <v>203</v>
      </c>
      <c r="E54" s="54" t="s">
        <v>204</v>
      </c>
    </row>
    <row r="55" spans="4:5">
      <c r="D55" s="60" t="s">
        <v>205</v>
      </c>
      <c r="E55" s="54" t="s">
        <v>206</v>
      </c>
    </row>
    <row r="56" spans="4:5">
      <c r="D56" s="60" t="s">
        <v>207</v>
      </c>
      <c r="E56" s="54" t="s">
        <v>208</v>
      </c>
    </row>
    <row r="57" spans="4:5">
      <c r="D57" s="60" t="s">
        <v>209</v>
      </c>
      <c r="E57" s="54" t="s">
        <v>210</v>
      </c>
    </row>
    <row r="58" spans="4:5">
      <c r="D58" s="60" t="s">
        <v>211</v>
      </c>
      <c r="E58" s="54" t="s">
        <v>212</v>
      </c>
    </row>
    <row r="59" spans="4:5">
      <c r="D59" s="60" t="s">
        <v>213</v>
      </c>
      <c r="E59" s="54" t="s">
        <v>214</v>
      </c>
    </row>
    <row r="60" spans="4:5">
      <c r="D60" s="60" t="s">
        <v>215</v>
      </c>
      <c r="E60" s="54" t="s">
        <v>216</v>
      </c>
    </row>
    <row r="61" spans="4:5">
      <c r="D61" s="60" t="s">
        <v>217</v>
      </c>
      <c r="E61" s="54" t="s">
        <v>218</v>
      </c>
    </row>
    <row r="62" spans="4:5">
      <c r="D62" s="60" t="s">
        <v>219</v>
      </c>
      <c r="E62" s="54" t="s">
        <v>220</v>
      </c>
    </row>
    <row r="63" spans="4:5">
      <c r="D63" s="60" t="s">
        <v>221</v>
      </c>
      <c r="E63" s="54" t="s">
        <v>222</v>
      </c>
    </row>
    <row r="64" spans="4:5">
      <c r="D64" s="60" t="s">
        <v>223</v>
      </c>
      <c r="E64" s="54" t="s">
        <v>224</v>
      </c>
    </row>
    <row r="65" spans="4:5" ht="17.25" thickBot="1">
      <c r="D65" s="61" t="s">
        <v>225</v>
      </c>
      <c r="E65" s="55" t="s">
        <v>226</v>
      </c>
    </row>
  </sheetData>
  <mergeCells count="4">
    <mergeCell ref="D33:D39"/>
    <mergeCell ref="D40:D41"/>
    <mergeCell ref="D42:D43"/>
    <mergeCell ref="D44:D46"/>
  </mergeCells>
  <phoneticPr fontId="8" type="noConversion"/>
  <conditionalFormatting sqref="E31:E65">
    <cfRule type="duplicateValues" dxfId="1" priority="1"/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9"/>
  <sheetViews>
    <sheetView workbookViewId="0">
      <selection activeCell="F28" sqref="F28"/>
    </sheetView>
  </sheetViews>
  <sheetFormatPr defaultRowHeight="16.5"/>
  <cols>
    <col min="2" max="2" width="16.5" customWidth="1"/>
    <col min="3" max="4" width="26.25" customWidth="1"/>
    <col min="5" max="5" width="13.25" customWidth="1"/>
    <col min="6" max="6" width="23.125" customWidth="1"/>
    <col min="7" max="7" width="14.5" customWidth="1"/>
    <col min="8" max="8" width="17.375" customWidth="1"/>
    <col min="9" max="9" width="13.125" bestFit="1" customWidth="1"/>
  </cols>
  <sheetData>
    <row r="1" spans="1:12" ht="27" thickBot="1">
      <c r="B1" s="132" t="s">
        <v>313</v>
      </c>
      <c r="C1" s="133"/>
      <c r="D1" t="b">
        <f>C1=I134</f>
        <v>0</v>
      </c>
    </row>
    <row r="2" spans="1:12" ht="17.25" thickBot="1"/>
    <row r="3" spans="1:12" ht="32.25" customHeight="1" thickBot="1">
      <c r="B3" s="398" t="s">
        <v>255</v>
      </c>
      <c r="C3" s="399"/>
      <c r="D3" s="399"/>
      <c r="E3" s="399"/>
      <c r="F3" s="399"/>
      <c r="G3" s="399"/>
      <c r="H3" s="109" t="s">
        <v>256</v>
      </c>
      <c r="I3" s="110">
        <f>H11+D92</f>
        <v>170077810</v>
      </c>
    </row>
    <row r="4" spans="1:12" ht="32.25" thickBot="1">
      <c r="A4" s="77"/>
      <c r="B4" s="395" t="s">
        <v>257</v>
      </c>
      <c r="C4" s="396"/>
      <c r="D4" s="397"/>
      <c r="E4" s="407" t="s">
        <v>436</v>
      </c>
      <c r="F4" s="408"/>
      <c r="G4" s="408"/>
      <c r="H4" s="408"/>
      <c r="I4" s="409"/>
      <c r="J4" s="77"/>
      <c r="K4" s="77"/>
      <c r="L4" s="77"/>
    </row>
    <row r="5" spans="1:12">
      <c r="A5" s="71"/>
      <c r="B5" s="89"/>
      <c r="C5" s="90"/>
      <c r="D5" s="99"/>
      <c r="E5" s="107"/>
      <c r="F5" s="91"/>
      <c r="G5" s="91"/>
      <c r="H5" s="91"/>
      <c r="I5" s="92"/>
    </row>
    <row r="6" spans="1:12" ht="17.25" thickBot="1">
      <c r="A6" s="71"/>
      <c r="B6" s="93" t="s">
        <v>228</v>
      </c>
      <c r="C6" s="90"/>
      <c r="D6" s="99"/>
      <c r="E6" s="107"/>
      <c r="F6" s="91"/>
      <c r="G6" s="91"/>
      <c r="H6" s="91"/>
      <c r="I6" s="92"/>
    </row>
    <row r="7" spans="1:12" ht="20.100000000000001" customHeight="1">
      <c r="A7" s="71"/>
      <c r="B7" s="94" t="s">
        <v>229</v>
      </c>
      <c r="C7" s="72" t="s">
        <v>230</v>
      </c>
      <c r="D7" s="100" t="s">
        <v>231</v>
      </c>
      <c r="E7" s="107"/>
      <c r="F7" s="80" t="s">
        <v>248</v>
      </c>
      <c r="G7" s="81" t="s">
        <v>249</v>
      </c>
      <c r="H7" s="82" t="s">
        <v>250</v>
      </c>
      <c r="I7" s="92"/>
    </row>
    <row r="8" spans="1:12" ht="20.100000000000001" customHeight="1">
      <c r="A8" s="71"/>
      <c r="B8" s="94" t="s">
        <v>232</v>
      </c>
      <c r="C8" s="73">
        <v>1719424000</v>
      </c>
      <c r="D8" s="101">
        <f>ROUND((C8*0.11*0.25%)*0.5,-1)</f>
        <v>236420</v>
      </c>
      <c r="E8" s="107"/>
      <c r="F8" s="83" t="s">
        <v>251</v>
      </c>
      <c r="G8" s="79">
        <v>6751812900</v>
      </c>
      <c r="H8" s="84">
        <v>25807251</v>
      </c>
      <c r="I8" s="92"/>
    </row>
    <row r="9" spans="1:12" ht="20.100000000000001" customHeight="1">
      <c r="A9" s="71"/>
      <c r="B9" s="94" t="s">
        <v>233</v>
      </c>
      <c r="C9" s="74" t="s">
        <v>234</v>
      </c>
      <c r="D9" s="101">
        <f>ROUNDDOWN(C8*(14/10000)*11%,-1)</f>
        <v>264790</v>
      </c>
      <c r="E9" s="107"/>
      <c r="F9" s="83" t="s">
        <v>252</v>
      </c>
      <c r="G9" s="79">
        <v>10873352056</v>
      </c>
      <c r="H9" s="84">
        <v>15222679</v>
      </c>
      <c r="I9" s="92"/>
    </row>
    <row r="10" spans="1:12" ht="20.100000000000001" customHeight="1">
      <c r="A10" s="71"/>
      <c r="B10" s="94" t="s">
        <v>235</v>
      </c>
      <c r="C10" s="75"/>
      <c r="D10" s="101">
        <f>ROUNDDOWN(ROUNDDOWN((49100+(C8-64000000)*12/10000),-1)*3*0.11,-1)</f>
        <v>671740</v>
      </c>
      <c r="E10" s="107"/>
      <c r="F10" s="83" t="s">
        <v>253</v>
      </c>
      <c r="G10" s="78"/>
      <c r="H10" s="84">
        <v>5161450</v>
      </c>
      <c r="I10" s="92"/>
    </row>
    <row r="11" spans="1:12" ht="20.100000000000001" customHeight="1" thickBot="1">
      <c r="A11" s="71"/>
      <c r="B11" s="94" t="s">
        <v>236</v>
      </c>
      <c r="C11" s="74" t="s">
        <v>234</v>
      </c>
      <c r="D11" s="102">
        <f>ROUNDDOWN(D8*20%,-1)</f>
        <v>47280</v>
      </c>
      <c r="E11" s="108"/>
      <c r="F11" s="85" t="s">
        <v>254</v>
      </c>
      <c r="G11" s="86"/>
      <c r="H11" s="87">
        <v>46191380</v>
      </c>
      <c r="I11" s="98"/>
    </row>
    <row r="12" spans="1:12" ht="20.100000000000001" customHeight="1">
      <c r="A12" s="71"/>
      <c r="B12" s="94" t="s">
        <v>237</v>
      </c>
      <c r="C12" s="76" t="s">
        <v>234</v>
      </c>
      <c r="D12" s="103">
        <f>SUM(D8:D11)</f>
        <v>1220230</v>
      </c>
      <c r="E12" s="91"/>
      <c r="F12" s="91"/>
      <c r="G12" s="91"/>
      <c r="H12" s="91"/>
      <c r="I12" s="92"/>
    </row>
    <row r="13" spans="1:12" ht="20.100000000000001" customHeight="1">
      <c r="A13" s="71"/>
      <c r="B13" s="89"/>
      <c r="C13" s="90"/>
      <c r="D13" s="99"/>
      <c r="E13" s="91"/>
      <c r="I13" s="92"/>
    </row>
    <row r="14" spans="1:12" ht="20.100000000000001" customHeight="1">
      <c r="A14" s="71"/>
      <c r="B14" s="93" t="s">
        <v>238</v>
      </c>
      <c r="C14" s="90"/>
      <c r="D14" s="99"/>
      <c r="E14" s="91"/>
      <c r="I14" s="92"/>
    </row>
    <row r="15" spans="1:12" ht="20.100000000000001" customHeight="1">
      <c r="A15" s="71"/>
      <c r="B15" s="94" t="s">
        <v>229</v>
      </c>
      <c r="C15" s="72" t="s">
        <v>230</v>
      </c>
      <c r="D15" s="100" t="s">
        <v>231</v>
      </c>
      <c r="E15" s="91"/>
      <c r="I15" s="92"/>
    </row>
    <row r="16" spans="1:12" ht="20.100000000000001" customHeight="1">
      <c r="A16" s="71"/>
      <c r="B16" s="94" t="s">
        <v>232</v>
      </c>
      <c r="C16" s="73">
        <v>1728308400</v>
      </c>
      <c r="D16" s="101">
        <f>ROUND((C16*0.1492*0.25%)*0.5,-1)</f>
        <v>322330</v>
      </c>
      <c r="E16" s="91"/>
      <c r="I16" s="92"/>
    </row>
    <row r="17" spans="1:9" ht="20.100000000000001" customHeight="1">
      <c r="A17" s="71"/>
      <c r="B17" s="94" t="s">
        <v>233</v>
      </c>
      <c r="C17" s="74" t="s">
        <v>234</v>
      </c>
      <c r="D17" s="101">
        <f>ROUNDDOWN(C16*(14/10000)*14.92%,-1)</f>
        <v>361000</v>
      </c>
      <c r="E17" s="91"/>
      <c r="F17" s="91"/>
      <c r="G17" s="91"/>
      <c r="H17" s="91"/>
      <c r="I17" s="92"/>
    </row>
    <row r="18" spans="1:9" ht="20.100000000000001" customHeight="1">
      <c r="A18" s="71"/>
      <c r="B18" s="94" t="s">
        <v>235</v>
      </c>
      <c r="C18" s="75"/>
      <c r="D18" s="101">
        <f>ROUNDDOWN(ROUNDDOWN((49100+(C16-64000000)*12/10000),-1)*3*0.1492,-1)</f>
        <v>915910</v>
      </c>
      <c r="E18" s="91"/>
      <c r="F18" s="91"/>
      <c r="G18" s="91"/>
      <c r="H18" s="91"/>
      <c r="I18" s="92"/>
    </row>
    <row r="19" spans="1:9" ht="20.100000000000001" customHeight="1">
      <c r="A19" s="71"/>
      <c r="B19" s="94" t="s">
        <v>236</v>
      </c>
      <c r="C19" s="74" t="s">
        <v>234</v>
      </c>
      <c r="D19" s="102">
        <f>ROUNDDOWN(D16*20%,-1)-10</f>
        <v>64450</v>
      </c>
      <c r="E19" s="91"/>
      <c r="F19" s="91"/>
      <c r="G19" s="91"/>
      <c r="H19" s="91"/>
      <c r="I19" s="92"/>
    </row>
    <row r="20" spans="1:9" ht="20.100000000000001" customHeight="1">
      <c r="A20" s="71"/>
      <c r="B20" s="94" t="s">
        <v>237</v>
      </c>
      <c r="C20" s="76" t="s">
        <v>234</v>
      </c>
      <c r="D20" s="103">
        <f>ROUNDDOWN(SUM(D16:D19),-1)</f>
        <v>1663690</v>
      </c>
      <c r="E20" s="91"/>
      <c r="F20" s="91"/>
      <c r="G20" s="91"/>
      <c r="H20" s="91"/>
      <c r="I20" s="92"/>
    </row>
    <row r="21" spans="1:9" ht="20.100000000000001" customHeight="1">
      <c r="A21" s="71"/>
      <c r="B21" s="89"/>
      <c r="C21" s="90"/>
      <c r="D21" s="99"/>
      <c r="E21" s="91"/>
      <c r="F21" s="91"/>
      <c r="G21" s="91"/>
      <c r="H21" s="91"/>
      <c r="I21" s="92"/>
    </row>
    <row r="22" spans="1:9" ht="20.100000000000001" customHeight="1">
      <c r="A22" s="71"/>
      <c r="B22" s="93" t="s">
        <v>239</v>
      </c>
      <c r="C22" s="90"/>
      <c r="D22" s="99"/>
      <c r="E22" s="91"/>
      <c r="F22" s="91"/>
      <c r="G22" s="91"/>
      <c r="H22" s="91"/>
      <c r="I22" s="92"/>
    </row>
    <row r="23" spans="1:9" ht="20.100000000000001" customHeight="1">
      <c r="A23" s="71"/>
      <c r="B23" s="94" t="s">
        <v>229</v>
      </c>
      <c r="C23" s="72" t="s">
        <v>230</v>
      </c>
      <c r="D23" s="100" t="s">
        <v>231</v>
      </c>
      <c r="E23" s="91"/>
      <c r="F23" s="91"/>
      <c r="G23" s="91"/>
      <c r="H23" s="91"/>
      <c r="I23" s="92"/>
    </row>
    <row r="24" spans="1:9" ht="20.100000000000001" customHeight="1">
      <c r="A24" s="71"/>
      <c r="B24" s="94" t="s">
        <v>232</v>
      </c>
      <c r="C24" s="73">
        <v>2482997349</v>
      </c>
      <c r="D24" s="101">
        <f>ROUNDDOWN((C24*0.25%)*0.5,-1)</f>
        <v>3103740</v>
      </c>
      <c r="E24" s="91"/>
      <c r="F24" s="91"/>
      <c r="G24" s="91"/>
      <c r="H24" s="91"/>
      <c r="I24" s="92"/>
    </row>
    <row r="25" spans="1:9" ht="20.100000000000001" customHeight="1">
      <c r="A25" s="71"/>
      <c r="B25" s="94" t="s">
        <v>233</v>
      </c>
      <c r="C25" s="74" t="s">
        <v>234</v>
      </c>
      <c r="D25" s="101">
        <f>ROUNDDOWN(C24*(14/10000),-1)</f>
        <v>3476190</v>
      </c>
      <c r="E25" s="91"/>
      <c r="F25" s="91"/>
      <c r="G25" s="91"/>
      <c r="H25" s="91"/>
      <c r="I25" s="92"/>
    </row>
    <row r="26" spans="1:9" ht="20.100000000000001" customHeight="1">
      <c r="A26" s="71"/>
      <c r="B26" s="94" t="s">
        <v>235</v>
      </c>
      <c r="C26" s="75"/>
      <c r="D26" s="101">
        <f>ROUNDDOWN((49100+(C24-64000000)*12/10000)*3,-1)</f>
        <v>8855690</v>
      </c>
      <c r="E26" s="91"/>
      <c r="F26" s="91"/>
      <c r="G26" s="91"/>
      <c r="H26" s="91"/>
      <c r="I26" s="92"/>
    </row>
    <row r="27" spans="1:9" ht="20.100000000000001" customHeight="1">
      <c r="A27" s="71"/>
      <c r="B27" s="94" t="s">
        <v>236</v>
      </c>
      <c r="C27" s="74" t="s">
        <v>234</v>
      </c>
      <c r="D27" s="101">
        <f>ROUNDDOWN(D24*20%,-1)</f>
        <v>620740</v>
      </c>
      <c r="E27" s="91"/>
      <c r="F27" s="91"/>
      <c r="G27" s="91"/>
      <c r="H27" s="91"/>
      <c r="I27" s="92"/>
    </row>
    <row r="28" spans="1:9" ht="20.100000000000001" customHeight="1">
      <c r="A28" s="71"/>
      <c r="B28" s="94" t="s">
        <v>237</v>
      </c>
      <c r="C28" s="76" t="s">
        <v>234</v>
      </c>
      <c r="D28" s="103">
        <f>SUM(D24:D27)</f>
        <v>16056360</v>
      </c>
      <c r="E28" s="91"/>
      <c r="F28" s="91"/>
      <c r="G28" s="91"/>
      <c r="H28" s="91"/>
      <c r="I28" s="92"/>
    </row>
    <row r="29" spans="1:9" ht="20.100000000000001" customHeight="1">
      <c r="A29" s="71"/>
      <c r="B29" s="89"/>
      <c r="C29" s="90"/>
      <c r="D29" s="99"/>
      <c r="E29" s="91"/>
      <c r="F29" s="91"/>
      <c r="G29" s="91"/>
      <c r="H29" s="91"/>
      <c r="I29" s="92"/>
    </row>
    <row r="30" spans="1:9" ht="20.100000000000001" customHeight="1">
      <c r="A30" s="71"/>
      <c r="B30" s="93" t="s">
        <v>240</v>
      </c>
      <c r="C30" s="90"/>
      <c r="D30" s="99"/>
      <c r="E30" s="91"/>
      <c r="F30" s="91"/>
      <c r="G30" s="91"/>
      <c r="H30" s="91"/>
      <c r="I30" s="92"/>
    </row>
    <row r="31" spans="1:9" ht="20.100000000000001" customHeight="1">
      <c r="A31" s="71"/>
      <c r="B31" s="94" t="s">
        <v>229</v>
      </c>
      <c r="C31" s="72" t="s">
        <v>230</v>
      </c>
      <c r="D31" s="100" t="s">
        <v>231</v>
      </c>
      <c r="E31" s="91"/>
      <c r="F31" s="91"/>
      <c r="G31" s="91"/>
      <c r="H31" s="91"/>
      <c r="I31" s="92"/>
    </row>
    <row r="32" spans="1:9" ht="20.100000000000001" customHeight="1">
      <c r="A32" s="71"/>
      <c r="B32" s="94" t="s">
        <v>232</v>
      </c>
      <c r="C32" s="73">
        <v>2167673235</v>
      </c>
      <c r="D32" s="101">
        <f>ROUNDDOWN((C32*0.25%),-1)</f>
        <v>5419180</v>
      </c>
      <c r="E32" s="91"/>
      <c r="F32" s="91"/>
      <c r="G32" s="91"/>
      <c r="H32" s="91"/>
      <c r="I32" s="92"/>
    </row>
    <row r="33" spans="1:9" ht="20.100000000000001" customHeight="1">
      <c r="A33" s="71"/>
      <c r="B33" s="94" t="s">
        <v>233</v>
      </c>
      <c r="C33" s="74" t="s">
        <v>234</v>
      </c>
      <c r="D33" s="101">
        <f>ROUND(C32*(14/10000),-1)</f>
        <v>3034740</v>
      </c>
      <c r="E33" s="91"/>
      <c r="F33" s="91"/>
      <c r="G33" s="91"/>
      <c r="H33" s="91"/>
      <c r="I33" s="92"/>
    </row>
    <row r="34" spans="1:9" ht="20.100000000000001" customHeight="1">
      <c r="A34" s="71"/>
      <c r="B34" s="94" t="s">
        <v>235</v>
      </c>
      <c r="C34" s="75"/>
      <c r="D34" s="101">
        <f>ROUNDDOWN((49100+(C32-64000000)*12/10000)*3,-1)</f>
        <v>7720520</v>
      </c>
      <c r="E34" s="91"/>
      <c r="F34" s="91"/>
      <c r="G34" s="91"/>
      <c r="H34" s="91"/>
      <c r="I34" s="92"/>
    </row>
    <row r="35" spans="1:9" ht="20.100000000000001" customHeight="1">
      <c r="A35" s="71"/>
      <c r="B35" s="94" t="s">
        <v>236</v>
      </c>
      <c r="C35" s="74" t="s">
        <v>234</v>
      </c>
      <c r="D35" s="101">
        <f>ROUNDDOWN(D32*20%,-1)</f>
        <v>1083830</v>
      </c>
      <c r="E35" s="91"/>
      <c r="F35" s="91"/>
      <c r="G35" s="91"/>
      <c r="H35" s="91"/>
      <c r="I35" s="92"/>
    </row>
    <row r="36" spans="1:9" ht="20.100000000000001" customHeight="1">
      <c r="A36" s="71"/>
      <c r="B36" s="94" t="s">
        <v>237</v>
      </c>
      <c r="C36" s="76" t="s">
        <v>234</v>
      </c>
      <c r="D36" s="103">
        <f>SUM(D32:D35)</f>
        <v>17258270</v>
      </c>
      <c r="E36" s="91"/>
      <c r="F36" s="91"/>
      <c r="G36" s="91"/>
      <c r="H36" s="91"/>
      <c r="I36" s="92"/>
    </row>
    <row r="37" spans="1:9" ht="20.100000000000001" customHeight="1">
      <c r="A37" s="71"/>
      <c r="B37" s="89"/>
      <c r="C37" s="90"/>
      <c r="D37" s="99"/>
      <c r="E37" s="91"/>
      <c r="F37" s="91"/>
      <c r="G37" s="91"/>
      <c r="H37" s="91"/>
      <c r="I37" s="92"/>
    </row>
    <row r="38" spans="1:9" ht="20.100000000000001" customHeight="1">
      <c r="A38" s="71"/>
      <c r="B38" s="93" t="s">
        <v>241</v>
      </c>
      <c r="C38" s="90"/>
      <c r="D38" s="99"/>
      <c r="E38" s="91"/>
      <c r="F38" s="91"/>
      <c r="G38" s="91"/>
      <c r="H38" s="91"/>
      <c r="I38" s="92"/>
    </row>
    <row r="39" spans="1:9" ht="20.100000000000001" customHeight="1">
      <c r="A39" s="71"/>
      <c r="B39" s="94" t="s">
        <v>229</v>
      </c>
      <c r="C39" s="72" t="s">
        <v>230</v>
      </c>
      <c r="D39" s="100" t="s">
        <v>231</v>
      </c>
      <c r="E39" s="91"/>
      <c r="F39" s="91"/>
      <c r="G39" s="91"/>
      <c r="H39" s="91"/>
      <c r="I39" s="92"/>
    </row>
    <row r="40" spans="1:9" ht="20.100000000000001" customHeight="1">
      <c r="A40" s="71"/>
      <c r="B40" s="94" t="s">
        <v>232</v>
      </c>
      <c r="C40" s="73">
        <v>2169424446</v>
      </c>
      <c r="D40" s="101">
        <f>ROUND((C40*0.25%),-1)</f>
        <v>5423560</v>
      </c>
      <c r="E40" s="91"/>
      <c r="F40" s="91"/>
      <c r="G40" s="91"/>
      <c r="H40" s="91"/>
      <c r="I40" s="92"/>
    </row>
    <row r="41" spans="1:9" ht="20.100000000000001" customHeight="1">
      <c r="A41" s="71"/>
      <c r="B41" s="94" t="s">
        <v>233</v>
      </c>
      <c r="C41" s="74" t="s">
        <v>234</v>
      </c>
      <c r="D41" s="101">
        <f>ROUNDDOWN(C40*(14/10000),-1)</f>
        <v>3037190</v>
      </c>
      <c r="E41" s="91"/>
      <c r="F41" s="91"/>
      <c r="G41" s="91"/>
      <c r="H41" s="91"/>
      <c r="I41" s="92"/>
    </row>
    <row r="42" spans="1:9" ht="20.100000000000001" customHeight="1">
      <c r="A42" s="71"/>
      <c r="B42" s="94" t="s">
        <v>235</v>
      </c>
      <c r="C42" s="75"/>
      <c r="D42" s="101">
        <f>ROUNDDOWN((49100+(C40-64000000)*12/10000)*3,-1)</f>
        <v>7726820</v>
      </c>
      <c r="E42" s="91"/>
      <c r="F42" s="91"/>
      <c r="G42" s="91"/>
      <c r="H42" s="91"/>
      <c r="I42" s="92"/>
    </row>
    <row r="43" spans="1:9" ht="20.100000000000001" customHeight="1">
      <c r="A43" s="71"/>
      <c r="B43" s="94" t="s">
        <v>236</v>
      </c>
      <c r="C43" s="74" t="s">
        <v>234</v>
      </c>
      <c r="D43" s="101">
        <f>ROUNDDOWN(D40*20%,-1)</f>
        <v>1084710</v>
      </c>
      <c r="E43" s="91"/>
      <c r="F43" s="91"/>
      <c r="G43" s="91"/>
      <c r="H43" s="91"/>
      <c r="I43" s="92"/>
    </row>
    <row r="44" spans="1:9" ht="20.100000000000001" customHeight="1">
      <c r="A44" s="71"/>
      <c r="B44" s="94" t="s">
        <v>237</v>
      </c>
      <c r="C44" s="76" t="s">
        <v>234</v>
      </c>
      <c r="D44" s="103">
        <f>SUM(D40:D43)</f>
        <v>17272280</v>
      </c>
      <c r="E44" s="91"/>
      <c r="F44" s="91"/>
      <c r="G44" s="91"/>
      <c r="H44" s="91"/>
      <c r="I44" s="92"/>
    </row>
    <row r="45" spans="1:9" ht="20.100000000000001" customHeight="1">
      <c r="A45" s="71"/>
      <c r="B45" s="89"/>
      <c r="C45" s="90"/>
      <c r="D45" s="99"/>
      <c r="E45" s="91"/>
      <c r="F45" s="91"/>
      <c r="G45" s="91"/>
      <c r="H45" s="91"/>
      <c r="I45" s="92"/>
    </row>
    <row r="46" spans="1:9" ht="20.100000000000001" customHeight="1">
      <c r="A46" s="71"/>
      <c r="B46" s="93" t="s">
        <v>242</v>
      </c>
      <c r="C46" s="90"/>
      <c r="D46" s="99"/>
      <c r="E46" s="91"/>
      <c r="F46" s="91"/>
      <c r="G46" s="91"/>
      <c r="H46" s="91"/>
      <c r="I46" s="92"/>
    </row>
    <row r="47" spans="1:9" ht="20.100000000000001" customHeight="1">
      <c r="A47" s="71"/>
      <c r="B47" s="94" t="s">
        <v>229</v>
      </c>
      <c r="C47" s="72" t="s">
        <v>230</v>
      </c>
      <c r="D47" s="100" t="s">
        <v>231</v>
      </c>
      <c r="E47" s="91"/>
      <c r="F47" s="91"/>
      <c r="G47" s="91"/>
      <c r="H47" s="91"/>
      <c r="I47" s="92"/>
    </row>
    <row r="48" spans="1:9" ht="20.100000000000001" customHeight="1">
      <c r="A48" s="71"/>
      <c r="B48" s="94" t="s">
        <v>232</v>
      </c>
      <c r="C48" s="73">
        <v>2176421709</v>
      </c>
      <c r="D48" s="101">
        <f>ROUNDDOWN((C48*0.25%)*0.5,-1)</f>
        <v>2720520</v>
      </c>
      <c r="E48" s="91"/>
      <c r="F48" s="91"/>
      <c r="G48" s="91"/>
      <c r="H48" s="91"/>
      <c r="I48" s="92"/>
    </row>
    <row r="49" spans="1:9" ht="20.100000000000001" customHeight="1">
      <c r="A49" s="71"/>
      <c r="B49" s="94" t="s">
        <v>233</v>
      </c>
      <c r="C49" s="74" t="s">
        <v>234</v>
      </c>
      <c r="D49" s="101">
        <f>ROUNDDOWN(C48*(14/10000),-1)</f>
        <v>3046990</v>
      </c>
      <c r="E49" s="91"/>
      <c r="F49" s="91"/>
      <c r="G49" s="91"/>
      <c r="H49" s="91"/>
      <c r="I49" s="92"/>
    </row>
    <row r="50" spans="1:9" ht="20.100000000000001" customHeight="1">
      <c r="A50" s="71"/>
      <c r="B50" s="94" t="s">
        <v>235</v>
      </c>
      <c r="C50" s="75"/>
      <c r="D50" s="101">
        <f>ROUNDDOWN((49100+(C48-64000000)*12/10000)*3,-1)</f>
        <v>7752010</v>
      </c>
      <c r="E50" s="91"/>
      <c r="F50" s="91"/>
      <c r="G50" s="91"/>
      <c r="H50" s="91"/>
      <c r="I50" s="92"/>
    </row>
    <row r="51" spans="1:9" ht="20.100000000000001" customHeight="1">
      <c r="A51" s="71"/>
      <c r="B51" s="94" t="s">
        <v>236</v>
      </c>
      <c r="C51" s="74" t="s">
        <v>234</v>
      </c>
      <c r="D51" s="101">
        <f>ROUNDDOWN(D48*20%,-1)</f>
        <v>544100</v>
      </c>
      <c r="E51" s="91"/>
      <c r="F51" s="91"/>
      <c r="G51" s="91"/>
      <c r="H51" s="91"/>
      <c r="I51" s="92"/>
    </row>
    <row r="52" spans="1:9" ht="20.100000000000001" customHeight="1">
      <c r="A52" s="71"/>
      <c r="B52" s="94" t="s">
        <v>237</v>
      </c>
      <c r="C52" s="76" t="s">
        <v>234</v>
      </c>
      <c r="D52" s="103">
        <f>SUM(D48:D51)</f>
        <v>14063620</v>
      </c>
      <c r="E52" s="91"/>
      <c r="F52" s="91"/>
      <c r="G52" s="91"/>
      <c r="H52" s="91"/>
      <c r="I52" s="92"/>
    </row>
    <row r="53" spans="1:9" ht="20.100000000000001" customHeight="1">
      <c r="A53" s="71"/>
      <c r="B53" s="89"/>
      <c r="C53" s="90"/>
      <c r="D53" s="99"/>
      <c r="E53" s="91"/>
      <c r="F53" s="91"/>
      <c r="G53" s="91"/>
      <c r="H53" s="91"/>
      <c r="I53" s="92"/>
    </row>
    <row r="54" spans="1:9" ht="20.100000000000001" customHeight="1">
      <c r="A54" s="71"/>
      <c r="B54" s="93" t="s">
        <v>243</v>
      </c>
      <c r="C54" s="90"/>
      <c r="D54" s="99"/>
      <c r="E54" s="91"/>
      <c r="F54" s="91"/>
      <c r="G54" s="91"/>
      <c r="H54" s="91"/>
      <c r="I54" s="92"/>
    </row>
    <row r="55" spans="1:9" ht="20.100000000000001" customHeight="1">
      <c r="A55" s="71"/>
      <c r="B55" s="94" t="s">
        <v>229</v>
      </c>
      <c r="C55" s="72" t="s">
        <v>230</v>
      </c>
      <c r="D55" s="100" t="s">
        <v>231</v>
      </c>
      <c r="E55" s="91"/>
      <c r="F55" s="91"/>
      <c r="G55" s="91"/>
      <c r="H55" s="91"/>
      <c r="I55" s="92"/>
    </row>
    <row r="56" spans="1:9" ht="20.100000000000001" customHeight="1">
      <c r="A56" s="71"/>
      <c r="B56" s="94" t="s">
        <v>232</v>
      </c>
      <c r="C56" s="73">
        <v>2178172920</v>
      </c>
      <c r="D56" s="101">
        <f>ROUNDDOWN((C56*0.25%)*0.5,-1)</f>
        <v>2722710</v>
      </c>
      <c r="E56" s="91"/>
      <c r="F56" s="91"/>
      <c r="G56" s="91"/>
      <c r="H56" s="91"/>
      <c r="I56" s="92"/>
    </row>
    <row r="57" spans="1:9" ht="20.100000000000001" customHeight="1">
      <c r="A57" s="71"/>
      <c r="B57" s="94" t="s">
        <v>233</v>
      </c>
      <c r="C57" s="74" t="s">
        <v>234</v>
      </c>
      <c r="D57" s="101">
        <f>ROUNDDOWN(C56*(14/10000),-1)</f>
        <v>3049440</v>
      </c>
      <c r="E57" s="91"/>
      <c r="F57" s="91"/>
      <c r="G57" s="91"/>
      <c r="H57" s="91"/>
      <c r="I57" s="92"/>
    </row>
    <row r="58" spans="1:9" ht="20.100000000000001" customHeight="1">
      <c r="A58" s="71"/>
      <c r="B58" s="94" t="s">
        <v>235</v>
      </c>
      <c r="C58" s="75"/>
      <c r="D58" s="101">
        <f>ROUNDDOWN((49100+(C56-64000000)*12/10000)*3,-1)</f>
        <v>7758320</v>
      </c>
      <c r="E58" s="91"/>
      <c r="F58" s="91"/>
      <c r="G58" s="91"/>
      <c r="H58" s="91"/>
      <c r="I58" s="92"/>
    </row>
    <row r="59" spans="1:9" ht="20.100000000000001" customHeight="1">
      <c r="A59" s="71"/>
      <c r="B59" s="94" t="s">
        <v>236</v>
      </c>
      <c r="C59" s="74" t="s">
        <v>234</v>
      </c>
      <c r="D59" s="101">
        <f>ROUNDDOWN(D56*20%,-1)</f>
        <v>544540</v>
      </c>
      <c r="E59" s="91"/>
      <c r="F59" s="91"/>
      <c r="G59" s="91"/>
      <c r="H59" s="91"/>
      <c r="I59" s="92"/>
    </row>
    <row r="60" spans="1:9" ht="20.100000000000001" customHeight="1">
      <c r="A60" s="71"/>
      <c r="B60" s="94" t="s">
        <v>237</v>
      </c>
      <c r="C60" s="76" t="s">
        <v>234</v>
      </c>
      <c r="D60" s="103">
        <f>SUM(D56:D59)</f>
        <v>14075010</v>
      </c>
      <c r="E60" s="91"/>
      <c r="F60" s="91"/>
      <c r="G60" s="91"/>
      <c r="H60" s="91"/>
      <c r="I60" s="92"/>
    </row>
    <row r="61" spans="1:9" ht="20.100000000000001" customHeight="1">
      <c r="A61" s="71"/>
      <c r="B61" s="89"/>
      <c r="C61" s="90"/>
      <c r="D61" s="99"/>
      <c r="E61" s="91"/>
      <c r="F61" s="91"/>
      <c r="G61" s="91"/>
      <c r="H61" s="91"/>
      <c r="I61" s="92"/>
    </row>
    <row r="62" spans="1:9" ht="20.100000000000001" customHeight="1">
      <c r="A62" s="71"/>
      <c r="B62" s="93" t="s">
        <v>244</v>
      </c>
      <c r="C62" s="90"/>
      <c r="D62" s="99"/>
      <c r="E62" s="91"/>
      <c r="F62" s="91"/>
      <c r="G62" s="91"/>
      <c r="H62" s="91"/>
      <c r="I62" s="92"/>
    </row>
    <row r="63" spans="1:9" ht="20.100000000000001" customHeight="1">
      <c r="A63" s="71"/>
      <c r="B63" s="94" t="s">
        <v>229</v>
      </c>
      <c r="C63" s="72" t="s">
        <v>230</v>
      </c>
      <c r="D63" s="100" t="s">
        <v>231</v>
      </c>
      <c r="E63" s="91"/>
      <c r="F63" s="91"/>
      <c r="G63" s="91"/>
      <c r="H63" s="91"/>
      <c r="I63" s="92"/>
    </row>
    <row r="64" spans="1:9" ht="20.100000000000001" customHeight="1">
      <c r="A64" s="71"/>
      <c r="B64" s="94" t="s">
        <v>232</v>
      </c>
      <c r="C64" s="73">
        <v>2178172920</v>
      </c>
      <c r="D64" s="101">
        <f>ROUNDDOWN((C64*0.25%)*0.5,-1)</f>
        <v>2722710</v>
      </c>
      <c r="E64" s="91"/>
      <c r="F64" s="91"/>
      <c r="G64" s="91"/>
      <c r="H64" s="91"/>
      <c r="I64" s="92"/>
    </row>
    <row r="65" spans="1:9" ht="20.100000000000001" customHeight="1">
      <c r="A65" s="71"/>
      <c r="B65" s="94" t="s">
        <v>233</v>
      </c>
      <c r="C65" s="74" t="s">
        <v>234</v>
      </c>
      <c r="D65" s="101">
        <f>ROUNDDOWN(C64*(14/10000),-1)</f>
        <v>3049440</v>
      </c>
      <c r="E65" s="91"/>
      <c r="F65" s="91"/>
      <c r="G65" s="91"/>
      <c r="H65" s="91"/>
      <c r="I65" s="92"/>
    </row>
    <row r="66" spans="1:9" ht="20.100000000000001" customHeight="1">
      <c r="A66" s="71"/>
      <c r="B66" s="94" t="s">
        <v>235</v>
      </c>
      <c r="C66" s="75"/>
      <c r="D66" s="101">
        <f>ROUNDDOWN((49100+(C64-64000000)*12/10000)*3,-1)</f>
        <v>7758320</v>
      </c>
      <c r="E66" s="91"/>
      <c r="F66" s="91"/>
      <c r="G66" s="91"/>
      <c r="H66" s="91"/>
      <c r="I66" s="92"/>
    </row>
    <row r="67" spans="1:9" ht="20.100000000000001" customHeight="1">
      <c r="A67" s="71"/>
      <c r="B67" s="94" t="s">
        <v>236</v>
      </c>
      <c r="C67" s="74" t="s">
        <v>234</v>
      </c>
      <c r="D67" s="101">
        <f>ROUNDDOWN(D64*20%,-1)</f>
        <v>544540</v>
      </c>
      <c r="E67" s="91"/>
      <c r="F67" s="91"/>
      <c r="G67" s="91"/>
      <c r="H67" s="91"/>
      <c r="I67" s="92"/>
    </row>
    <row r="68" spans="1:9" ht="20.100000000000001" customHeight="1">
      <c r="A68" s="71"/>
      <c r="B68" s="94" t="s">
        <v>237</v>
      </c>
      <c r="C68" s="76" t="s">
        <v>234</v>
      </c>
      <c r="D68" s="103">
        <f>SUM(D64:D67)</f>
        <v>14075010</v>
      </c>
      <c r="E68" s="91"/>
      <c r="F68" s="91"/>
      <c r="G68" s="91"/>
      <c r="H68" s="91"/>
      <c r="I68" s="92"/>
    </row>
    <row r="69" spans="1:9" ht="20.100000000000001" customHeight="1">
      <c r="A69" s="71"/>
      <c r="B69" s="89"/>
      <c r="C69" s="90"/>
      <c r="D69" s="99"/>
      <c r="E69" s="91"/>
      <c r="F69" s="91"/>
      <c r="G69" s="91"/>
      <c r="H69" s="91"/>
      <c r="I69" s="92"/>
    </row>
    <row r="70" spans="1:9" ht="20.100000000000001" customHeight="1">
      <c r="A70" s="71"/>
      <c r="B70" s="93" t="s">
        <v>245</v>
      </c>
      <c r="C70" s="90"/>
      <c r="D70" s="99"/>
      <c r="E70" s="91"/>
      <c r="F70" s="91"/>
      <c r="G70" s="91"/>
      <c r="H70" s="91"/>
      <c r="I70" s="92"/>
    </row>
    <row r="71" spans="1:9" ht="20.100000000000001" customHeight="1">
      <c r="A71" s="71"/>
      <c r="B71" s="94" t="s">
        <v>229</v>
      </c>
      <c r="C71" s="72" t="s">
        <v>230</v>
      </c>
      <c r="D71" s="100" t="s">
        <v>231</v>
      </c>
      <c r="E71" s="91"/>
      <c r="F71" s="91"/>
      <c r="G71" s="91"/>
      <c r="H71" s="91"/>
      <c r="I71" s="92"/>
    </row>
    <row r="72" spans="1:9" ht="20.100000000000001" customHeight="1">
      <c r="A72" s="71"/>
      <c r="B72" s="94" t="s">
        <v>232</v>
      </c>
      <c r="C72" s="73">
        <v>2182168107</v>
      </c>
      <c r="D72" s="101">
        <f>ROUND((C72*0.25%)*0.5,-1)</f>
        <v>2727710</v>
      </c>
      <c r="E72" s="91"/>
      <c r="F72" s="91"/>
      <c r="G72" s="91"/>
      <c r="H72" s="91"/>
      <c r="I72" s="92"/>
    </row>
    <row r="73" spans="1:9" ht="20.100000000000001" customHeight="1">
      <c r="A73" s="71"/>
      <c r="B73" s="94" t="s">
        <v>233</v>
      </c>
      <c r="C73" s="74" t="s">
        <v>234</v>
      </c>
      <c r="D73" s="101">
        <f>ROUNDDOWN(C72*(14/10000),0)</f>
        <v>3055035</v>
      </c>
      <c r="E73" s="91"/>
      <c r="F73" s="91"/>
      <c r="G73" s="91"/>
      <c r="H73" s="91"/>
      <c r="I73" s="92"/>
    </row>
    <row r="74" spans="1:9" ht="20.100000000000001" customHeight="1">
      <c r="A74" s="71"/>
      <c r="B74" s="94" t="s">
        <v>235</v>
      </c>
      <c r="C74" s="75"/>
      <c r="D74" s="101">
        <f>ROUNDDOWN((49100+(C72-64000000)*12/10000)*3,-1)</f>
        <v>7772700</v>
      </c>
      <c r="E74" s="91"/>
      <c r="F74" s="91"/>
      <c r="G74" s="91"/>
      <c r="H74" s="91"/>
      <c r="I74" s="92"/>
    </row>
    <row r="75" spans="1:9" ht="20.100000000000001" customHeight="1">
      <c r="A75" s="71"/>
      <c r="B75" s="94" t="s">
        <v>236</v>
      </c>
      <c r="C75" s="74" t="s">
        <v>234</v>
      </c>
      <c r="D75" s="101">
        <f>ROUNDDOWN(D72*20%,-1)</f>
        <v>545540</v>
      </c>
      <c r="E75" s="91"/>
      <c r="F75" s="91"/>
      <c r="G75" s="91"/>
      <c r="H75" s="91"/>
      <c r="I75" s="92"/>
    </row>
    <row r="76" spans="1:9" ht="20.100000000000001" customHeight="1">
      <c r="A76" s="71"/>
      <c r="B76" s="94" t="s">
        <v>237</v>
      </c>
      <c r="C76" s="76" t="s">
        <v>234</v>
      </c>
      <c r="D76" s="103">
        <f>ROUNDDOWN(SUM(D72:D75),-1)</f>
        <v>14100980</v>
      </c>
      <c r="E76" s="91"/>
      <c r="F76" s="91"/>
      <c r="G76" s="91"/>
      <c r="H76" s="91"/>
      <c r="I76" s="92"/>
    </row>
    <row r="77" spans="1:9" ht="20.100000000000001" customHeight="1">
      <c r="A77" s="71"/>
      <c r="B77" s="89"/>
      <c r="C77" s="90"/>
      <c r="D77" s="99"/>
      <c r="E77" s="91"/>
      <c r="F77" s="91"/>
      <c r="G77" s="91"/>
      <c r="H77" s="91"/>
      <c r="I77" s="92"/>
    </row>
    <row r="78" spans="1:9" ht="20.100000000000001" customHeight="1">
      <c r="A78" s="71"/>
      <c r="B78" s="93" t="s">
        <v>246</v>
      </c>
      <c r="C78" s="90"/>
      <c r="D78" s="99"/>
      <c r="E78" s="91"/>
      <c r="F78" s="91"/>
      <c r="G78" s="91"/>
      <c r="H78" s="91"/>
      <c r="I78" s="92"/>
    </row>
    <row r="79" spans="1:9" ht="20.100000000000001" customHeight="1">
      <c r="A79" s="71"/>
      <c r="B79" s="94" t="s">
        <v>229</v>
      </c>
      <c r="C79" s="72" t="s">
        <v>230</v>
      </c>
      <c r="D79" s="100" t="s">
        <v>231</v>
      </c>
      <c r="E79" s="91"/>
      <c r="F79" s="91"/>
      <c r="G79" s="91"/>
      <c r="H79" s="91"/>
      <c r="I79" s="92"/>
    </row>
    <row r="80" spans="1:9" ht="20.100000000000001" customHeight="1">
      <c r="A80" s="71"/>
      <c r="B80" s="94" t="s">
        <v>232</v>
      </c>
      <c r="C80" s="73">
        <v>2182168107</v>
      </c>
      <c r="D80" s="101">
        <f>ROUND((C80*0.25%)*0.5,-1)</f>
        <v>2727710</v>
      </c>
      <c r="E80" s="91"/>
      <c r="F80" s="91"/>
      <c r="G80" s="91"/>
      <c r="H80" s="91"/>
      <c r="I80" s="92"/>
    </row>
    <row r="81" spans="1:9" ht="20.100000000000001" customHeight="1">
      <c r="A81" s="71"/>
      <c r="B81" s="94" t="s">
        <v>233</v>
      </c>
      <c r="C81" s="74" t="s">
        <v>234</v>
      </c>
      <c r="D81" s="101">
        <f>ROUNDDOWN(C80*(14/10000),0)</f>
        <v>3055035</v>
      </c>
      <c r="E81" s="91"/>
      <c r="F81" s="91"/>
      <c r="G81" s="91"/>
      <c r="H81" s="91"/>
      <c r="I81" s="92"/>
    </row>
    <row r="82" spans="1:9" ht="20.100000000000001" customHeight="1">
      <c r="A82" s="71"/>
      <c r="B82" s="94" t="s">
        <v>235</v>
      </c>
      <c r="C82" s="75"/>
      <c r="D82" s="101">
        <f>ROUNDDOWN((49100+(C80-64000000)*12/10000)*3,-1)</f>
        <v>7772700</v>
      </c>
      <c r="E82" s="91"/>
      <c r="F82" s="91"/>
      <c r="G82" s="91"/>
      <c r="H82" s="91"/>
      <c r="I82" s="92"/>
    </row>
    <row r="83" spans="1:9" ht="20.100000000000001" customHeight="1">
      <c r="A83" s="71"/>
      <c r="B83" s="94" t="s">
        <v>236</v>
      </c>
      <c r="C83" s="74" t="s">
        <v>234</v>
      </c>
      <c r="D83" s="101">
        <f>ROUNDDOWN(D80*20%,-1)</f>
        <v>545540</v>
      </c>
      <c r="E83" s="91"/>
      <c r="F83" s="91"/>
      <c r="G83" s="91"/>
      <c r="H83" s="91"/>
      <c r="I83" s="92"/>
    </row>
    <row r="84" spans="1:9" ht="20.100000000000001" customHeight="1">
      <c r="A84" s="71"/>
      <c r="B84" s="94" t="s">
        <v>237</v>
      </c>
      <c r="C84" s="76" t="s">
        <v>234</v>
      </c>
      <c r="D84" s="103">
        <f>ROUNDDOWN(SUM(D80:D83),-1)</f>
        <v>14100980</v>
      </c>
      <c r="E84" s="91"/>
      <c r="F84" s="91"/>
      <c r="G84" s="91"/>
      <c r="H84" s="91"/>
      <c r="I84" s="92"/>
    </row>
    <row r="85" spans="1:9" ht="20.100000000000001" customHeight="1">
      <c r="A85" s="1"/>
      <c r="B85" s="95"/>
      <c r="C85" s="96"/>
      <c r="D85" s="104"/>
      <c r="E85" s="91"/>
      <c r="F85" s="91"/>
      <c r="G85" s="91"/>
      <c r="H85" s="91"/>
      <c r="I85" s="92"/>
    </row>
    <row r="86" spans="1:9" ht="20.100000000000001" customHeight="1">
      <c r="A86" s="1"/>
      <c r="B86" s="95"/>
      <c r="C86" s="96"/>
      <c r="D86" s="104"/>
      <c r="E86" s="91"/>
      <c r="F86" s="91"/>
      <c r="G86" s="91"/>
      <c r="H86" s="91"/>
      <c r="I86" s="92"/>
    </row>
    <row r="87" spans="1:9" ht="20.100000000000001" customHeight="1">
      <c r="A87" s="1"/>
      <c r="B87" s="383" t="s">
        <v>229</v>
      </c>
      <c r="C87" s="384"/>
      <c r="D87" s="100" t="s">
        <v>231</v>
      </c>
      <c r="E87" s="91"/>
      <c r="F87" s="91"/>
      <c r="G87" s="91"/>
      <c r="H87" s="91"/>
      <c r="I87" s="92"/>
    </row>
    <row r="88" spans="1:9" ht="20.100000000000001" customHeight="1">
      <c r="A88" s="1"/>
      <c r="B88" s="383" t="s">
        <v>232</v>
      </c>
      <c r="C88" s="384"/>
      <c r="D88" s="105">
        <f>D8+D16+D24+D32+D40+D48+D56+D64+D72+D80</f>
        <v>28126590</v>
      </c>
      <c r="E88" s="91"/>
      <c r="F88" s="91"/>
      <c r="G88" s="91"/>
      <c r="H88" s="91"/>
      <c r="I88" s="92"/>
    </row>
    <row r="89" spans="1:9" ht="20.100000000000001" customHeight="1">
      <c r="A89" s="1"/>
      <c r="B89" s="383" t="s">
        <v>233</v>
      </c>
      <c r="C89" s="384"/>
      <c r="D89" s="105">
        <f t="shared" ref="D89:D90" si="0">D9+D17+D25+D33+D41+D49+D57+D65+D73+D81</f>
        <v>25429850</v>
      </c>
      <c r="E89" s="91"/>
      <c r="F89" s="91"/>
      <c r="G89" s="91"/>
      <c r="H89" s="91"/>
      <c r="I89" s="92"/>
    </row>
    <row r="90" spans="1:9" ht="20.100000000000001" customHeight="1">
      <c r="A90" s="1"/>
      <c r="B90" s="383" t="s">
        <v>235</v>
      </c>
      <c r="C90" s="384"/>
      <c r="D90" s="105">
        <f t="shared" si="0"/>
        <v>64704730</v>
      </c>
      <c r="E90" s="91"/>
      <c r="F90" s="91"/>
      <c r="G90" s="91"/>
      <c r="H90" s="91"/>
      <c r="I90" s="92"/>
    </row>
    <row r="91" spans="1:9" ht="20.100000000000001" customHeight="1">
      <c r="A91" s="1"/>
      <c r="B91" s="383" t="s">
        <v>236</v>
      </c>
      <c r="C91" s="384"/>
      <c r="D91" s="105">
        <f>D11+D19+D27+D35+D43+D51+D59+D67+D75+D83</f>
        <v>5625270</v>
      </c>
      <c r="E91" s="91"/>
      <c r="F91" s="91"/>
      <c r="G91" s="91"/>
      <c r="H91" s="91"/>
      <c r="I91" s="92"/>
    </row>
    <row r="92" spans="1:9" ht="20.100000000000001" customHeight="1" thickBot="1">
      <c r="A92" s="1"/>
      <c r="B92" s="405" t="s">
        <v>247</v>
      </c>
      <c r="C92" s="406"/>
      <c r="D92" s="106">
        <f>D12+D20+D28+D36+D44+D52+D60+D68+D76+D84</f>
        <v>123886430</v>
      </c>
      <c r="E92" s="97"/>
      <c r="F92" s="97"/>
      <c r="G92" s="97"/>
      <c r="H92" s="97"/>
      <c r="I92" s="98"/>
    </row>
    <row r="93" spans="1:9" ht="17.25" thickBot="1"/>
    <row r="94" spans="1:9" ht="32.25" customHeight="1" thickBot="1">
      <c r="B94" s="398" t="s">
        <v>258</v>
      </c>
      <c r="C94" s="399"/>
      <c r="D94" s="399"/>
      <c r="E94" s="399"/>
      <c r="F94" s="399"/>
      <c r="G94" s="399"/>
      <c r="H94" s="109" t="s">
        <v>312</v>
      </c>
      <c r="I94" s="110">
        <f>F118+E132</f>
        <v>18038290</v>
      </c>
    </row>
    <row r="96" spans="1:9" ht="31.5">
      <c r="B96" s="88" t="s">
        <v>259</v>
      </c>
      <c r="C96" s="1"/>
      <c r="D96" s="1"/>
      <c r="E96" s="1"/>
      <c r="F96" s="1"/>
      <c r="G96" s="1"/>
      <c r="H96" s="1"/>
      <c r="I96" s="1"/>
    </row>
    <row r="97" spans="2:9">
      <c r="B97" s="1"/>
      <c r="C97" s="1"/>
      <c r="D97" s="1"/>
      <c r="E97" s="1"/>
      <c r="F97" s="1"/>
      <c r="G97" s="1"/>
      <c r="H97" s="392" t="s">
        <v>260</v>
      </c>
      <c r="I97" s="392"/>
    </row>
    <row r="98" spans="2:9">
      <c r="B98" s="111" t="s">
        <v>261</v>
      </c>
      <c r="C98" s="111" t="s">
        <v>262</v>
      </c>
      <c r="D98" s="111" t="s">
        <v>263</v>
      </c>
      <c r="E98" s="111" t="s">
        <v>264</v>
      </c>
      <c r="F98" s="111" t="s">
        <v>265</v>
      </c>
      <c r="G98" s="111" t="s">
        <v>266</v>
      </c>
      <c r="H98" s="111" t="s">
        <v>267</v>
      </c>
      <c r="I98" s="111" t="s">
        <v>268</v>
      </c>
    </row>
    <row r="99" spans="2:9">
      <c r="B99" s="393" t="s">
        <v>269</v>
      </c>
      <c r="C99" s="394" t="s">
        <v>270</v>
      </c>
      <c r="D99" s="34">
        <v>1222</v>
      </c>
      <c r="E99" s="112">
        <v>271420</v>
      </c>
      <c r="F99" s="112">
        <v>279550</v>
      </c>
      <c r="G99" s="113">
        <f t="shared" ref="G99:G109" si="1">F99-E99</f>
        <v>8130</v>
      </c>
      <c r="H99" s="410" t="s">
        <v>271</v>
      </c>
      <c r="I99" s="410" t="s">
        <v>272</v>
      </c>
    </row>
    <row r="100" spans="2:9">
      <c r="B100" s="394"/>
      <c r="C100" s="394"/>
      <c r="D100" s="34">
        <v>1506</v>
      </c>
      <c r="E100" s="112">
        <v>58740</v>
      </c>
      <c r="F100" s="112">
        <v>60490</v>
      </c>
      <c r="G100" s="113">
        <f t="shared" si="1"/>
        <v>1750</v>
      </c>
      <c r="H100" s="410"/>
      <c r="I100" s="410"/>
    </row>
    <row r="101" spans="2:9">
      <c r="B101" s="394"/>
      <c r="C101" s="394"/>
      <c r="D101" s="34">
        <v>1507</v>
      </c>
      <c r="E101" s="112">
        <v>58740</v>
      </c>
      <c r="F101" s="112">
        <v>60490</v>
      </c>
      <c r="G101" s="113">
        <f t="shared" si="1"/>
        <v>1750</v>
      </c>
      <c r="H101" s="410"/>
      <c r="I101" s="410"/>
    </row>
    <row r="102" spans="2:9">
      <c r="B102" s="394"/>
      <c r="C102" s="394"/>
      <c r="D102" s="34">
        <v>1509</v>
      </c>
      <c r="E102" s="112">
        <v>58740</v>
      </c>
      <c r="F102" s="112">
        <v>60490</v>
      </c>
      <c r="G102" s="113">
        <f t="shared" si="1"/>
        <v>1750</v>
      </c>
      <c r="H102" s="410"/>
      <c r="I102" s="410"/>
    </row>
    <row r="103" spans="2:9">
      <c r="B103" s="394"/>
      <c r="C103" s="394"/>
      <c r="D103" s="34">
        <v>1510</v>
      </c>
      <c r="E103" s="112">
        <v>58740</v>
      </c>
      <c r="F103" s="112">
        <v>60490</v>
      </c>
      <c r="G103" s="113">
        <f t="shared" si="1"/>
        <v>1750</v>
      </c>
      <c r="H103" s="410"/>
      <c r="I103" s="410"/>
    </row>
    <row r="104" spans="2:9">
      <c r="B104" s="394"/>
      <c r="C104" s="394"/>
      <c r="D104" s="34">
        <v>1522</v>
      </c>
      <c r="E104" s="112">
        <v>58740</v>
      </c>
      <c r="F104" s="112">
        <v>60490</v>
      </c>
      <c r="G104" s="113">
        <f t="shared" si="1"/>
        <v>1750</v>
      </c>
      <c r="H104" s="410"/>
      <c r="I104" s="410"/>
    </row>
    <row r="105" spans="2:9">
      <c r="B105" s="394"/>
      <c r="C105" s="394"/>
      <c r="D105" s="34">
        <v>1523</v>
      </c>
      <c r="E105" s="112">
        <v>58740</v>
      </c>
      <c r="F105" s="112">
        <v>60490</v>
      </c>
      <c r="G105" s="113">
        <f t="shared" si="1"/>
        <v>1750</v>
      </c>
      <c r="H105" s="410"/>
      <c r="I105" s="410"/>
    </row>
    <row r="106" spans="2:9">
      <c r="B106" s="394"/>
      <c r="C106" s="394"/>
      <c r="D106" s="34">
        <v>1619</v>
      </c>
      <c r="E106" s="112">
        <v>58830</v>
      </c>
      <c r="F106" s="112">
        <v>60580</v>
      </c>
      <c r="G106" s="113">
        <f t="shared" si="1"/>
        <v>1750</v>
      </c>
      <c r="H106" s="410"/>
      <c r="I106" s="410"/>
    </row>
    <row r="107" spans="2:9">
      <c r="B107" s="394"/>
      <c r="C107" s="394"/>
      <c r="D107" s="34">
        <v>1620</v>
      </c>
      <c r="E107" s="112">
        <v>58830</v>
      </c>
      <c r="F107" s="112">
        <v>60580</v>
      </c>
      <c r="G107" s="113">
        <f t="shared" si="1"/>
        <v>1750</v>
      </c>
      <c r="H107" s="410"/>
      <c r="I107" s="410"/>
    </row>
    <row r="108" spans="2:9">
      <c r="B108" s="394"/>
      <c r="C108" s="394"/>
      <c r="D108" s="34">
        <v>2410</v>
      </c>
      <c r="E108" s="112">
        <v>271420</v>
      </c>
      <c r="F108" s="112">
        <v>279550</v>
      </c>
      <c r="G108" s="113">
        <f t="shared" si="1"/>
        <v>8130</v>
      </c>
      <c r="H108" s="410"/>
      <c r="I108" s="410"/>
    </row>
    <row r="109" spans="2:9">
      <c r="B109" s="394"/>
      <c r="C109" s="394"/>
      <c r="D109" s="34">
        <v>2822</v>
      </c>
      <c r="E109" s="112">
        <v>271420</v>
      </c>
      <c r="F109" s="112">
        <v>279550</v>
      </c>
      <c r="G109" s="113">
        <f t="shared" si="1"/>
        <v>8130</v>
      </c>
      <c r="H109" s="410"/>
      <c r="I109" s="410"/>
    </row>
    <row r="110" spans="2:9">
      <c r="B110" s="111"/>
      <c r="C110" s="414" t="s">
        <v>273</v>
      </c>
      <c r="D110" s="415"/>
      <c r="E110" s="114">
        <f>SUM(E99:E109)</f>
        <v>1284360</v>
      </c>
      <c r="F110" s="114">
        <f t="shared" ref="F110:G110" si="2">SUM(F99:F109)</f>
        <v>1322750</v>
      </c>
      <c r="G110" s="114">
        <f t="shared" si="2"/>
        <v>38390</v>
      </c>
      <c r="H110" s="111"/>
      <c r="I110" s="111"/>
    </row>
    <row r="111" spans="2:9">
      <c r="B111" s="393" t="s">
        <v>274</v>
      </c>
      <c r="C111" s="394" t="s">
        <v>275</v>
      </c>
      <c r="D111" s="34">
        <v>506</v>
      </c>
      <c r="E111" s="112">
        <v>227380</v>
      </c>
      <c r="F111" s="112">
        <v>234180</v>
      </c>
      <c r="G111" s="113">
        <f t="shared" ref="G111:G117" si="3">F111-E111</f>
        <v>6800</v>
      </c>
      <c r="H111" s="34" t="s">
        <v>276</v>
      </c>
      <c r="I111" s="34" t="s">
        <v>277</v>
      </c>
    </row>
    <row r="112" spans="2:9">
      <c r="B112" s="394"/>
      <c r="C112" s="394"/>
      <c r="D112" s="34">
        <v>601</v>
      </c>
      <c r="E112" s="112">
        <v>74630</v>
      </c>
      <c r="F112" s="112">
        <v>76860</v>
      </c>
      <c r="G112" s="113">
        <f t="shared" si="3"/>
        <v>2230</v>
      </c>
      <c r="H112" s="34" t="s">
        <v>278</v>
      </c>
      <c r="I112" s="34" t="s">
        <v>277</v>
      </c>
    </row>
    <row r="113" spans="2:9">
      <c r="B113" s="394"/>
      <c r="C113" s="394"/>
      <c r="D113" s="34">
        <v>804</v>
      </c>
      <c r="E113" s="112">
        <v>74690</v>
      </c>
      <c r="F113" s="112">
        <v>76920</v>
      </c>
      <c r="G113" s="113">
        <f t="shared" si="3"/>
        <v>2230</v>
      </c>
      <c r="H113" s="34" t="s">
        <v>279</v>
      </c>
      <c r="I113" s="34" t="s">
        <v>277</v>
      </c>
    </row>
    <row r="114" spans="2:9">
      <c r="B114" s="394"/>
      <c r="C114" s="394"/>
      <c r="D114" s="34">
        <v>1205</v>
      </c>
      <c r="E114" s="112">
        <v>65460</v>
      </c>
      <c r="F114" s="112">
        <v>67410</v>
      </c>
      <c r="G114" s="113">
        <f t="shared" si="3"/>
        <v>1950</v>
      </c>
      <c r="H114" s="34" t="s">
        <v>280</v>
      </c>
      <c r="I114" s="34" t="s">
        <v>277</v>
      </c>
    </row>
    <row r="115" spans="2:9">
      <c r="B115" s="111"/>
      <c r="C115" s="414" t="s">
        <v>281</v>
      </c>
      <c r="D115" s="415"/>
      <c r="E115" s="114">
        <f>SUM(E111:E114)</f>
        <v>442160</v>
      </c>
      <c r="F115" s="114">
        <f>SUM(F111:F114)</f>
        <v>455370</v>
      </c>
      <c r="G115" s="115">
        <f t="shared" si="3"/>
        <v>13210</v>
      </c>
      <c r="H115" s="111"/>
      <c r="I115" s="111"/>
    </row>
    <row r="116" spans="2:9" ht="33">
      <c r="B116" s="116" t="s">
        <v>282</v>
      </c>
      <c r="C116" s="111" t="s">
        <v>283</v>
      </c>
      <c r="D116" s="117" t="s">
        <v>284</v>
      </c>
      <c r="E116" s="114">
        <v>2191530</v>
      </c>
      <c r="F116" s="114">
        <v>2256710</v>
      </c>
      <c r="G116" s="115">
        <f t="shared" si="3"/>
        <v>65180</v>
      </c>
      <c r="H116" s="118" t="s">
        <v>285</v>
      </c>
      <c r="I116" s="117" t="s">
        <v>272</v>
      </c>
    </row>
    <row r="117" spans="2:9" ht="33">
      <c r="B117" s="116" t="s">
        <v>286</v>
      </c>
      <c r="C117" s="111" t="s">
        <v>287</v>
      </c>
      <c r="D117" s="117" t="s">
        <v>288</v>
      </c>
      <c r="E117" s="114">
        <v>6886080</v>
      </c>
      <c r="F117" s="114">
        <v>7091700</v>
      </c>
      <c r="G117" s="115">
        <f t="shared" si="3"/>
        <v>205620</v>
      </c>
      <c r="H117" s="118" t="s">
        <v>289</v>
      </c>
      <c r="I117" s="117" t="s">
        <v>272</v>
      </c>
    </row>
    <row r="118" spans="2:9">
      <c r="B118" s="119"/>
      <c r="C118" s="416" t="s">
        <v>290</v>
      </c>
      <c r="D118" s="416"/>
      <c r="E118" s="120">
        <f>E110+E115+E116+E117</f>
        <v>10804130</v>
      </c>
      <c r="F118" s="120">
        <f t="shared" ref="F118:G118" si="4">F110+F115+F116+F117</f>
        <v>11126530</v>
      </c>
      <c r="G118" s="120">
        <f t="shared" si="4"/>
        <v>322400</v>
      </c>
      <c r="H118" s="417" t="s">
        <v>291</v>
      </c>
      <c r="I118" s="418"/>
    </row>
    <row r="120" spans="2:9" ht="31.5">
      <c r="B120" s="88" t="s">
        <v>311</v>
      </c>
      <c r="C120" s="1"/>
      <c r="D120" s="1"/>
      <c r="E120" s="1"/>
      <c r="F120" s="1"/>
      <c r="G120" s="1"/>
    </row>
    <row r="121" spans="2:9">
      <c r="B121" s="1"/>
      <c r="C121" s="1"/>
      <c r="D121" s="1"/>
      <c r="E121" s="1"/>
      <c r="F121" s="392" t="s">
        <v>260</v>
      </c>
      <c r="G121" s="392"/>
    </row>
    <row r="122" spans="2:9">
      <c r="B122" s="111" t="s">
        <v>261</v>
      </c>
      <c r="C122" s="111" t="s">
        <v>262</v>
      </c>
      <c r="D122" s="111" t="s">
        <v>263</v>
      </c>
      <c r="E122" s="111" t="s">
        <v>292</v>
      </c>
      <c r="F122" s="111" t="s">
        <v>267</v>
      </c>
      <c r="G122" s="111" t="s">
        <v>268</v>
      </c>
    </row>
    <row r="123" spans="2:9">
      <c r="B123" s="427" t="s">
        <v>274</v>
      </c>
      <c r="C123" s="430" t="s">
        <v>275</v>
      </c>
      <c r="D123" s="121">
        <v>601</v>
      </c>
      <c r="E123" s="122">
        <v>74630</v>
      </c>
      <c r="F123" s="121" t="s">
        <v>293</v>
      </c>
      <c r="G123" s="121" t="s">
        <v>277</v>
      </c>
    </row>
    <row r="124" spans="2:9">
      <c r="B124" s="428"/>
      <c r="C124" s="430"/>
      <c r="D124" s="121">
        <v>804</v>
      </c>
      <c r="E124" s="122">
        <v>65460</v>
      </c>
      <c r="F124" s="121" t="s">
        <v>294</v>
      </c>
      <c r="G124" s="121" t="s">
        <v>277</v>
      </c>
    </row>
    <row r="125" spans="2:9">
      <c r="B125" s="428"/>
      <c r="C125" s="430"/>
      <c r="D125" s="121">
        <v>1205</v>
      </c>
      <c r="E125" s="122">
        <v>74690</v>
      </c>
      <c r="F125" s="121" t="s">
        <v>295</v>
      </c>
      <c r="G125" s="121" t="s">
        <v>277</v>
      </c>
    </row>
    <row r="126" spans="2:9">
      <c r="B126" s="429"/>
      <c r="C126" s="123" t="s">
        <v>296</v>
      </c>
      <c r="D126" s="124" t="s">
        <v>297</v>
      </c>
      <c r="E126" s="125">
        <f>SUM(E123:E125)</f>
        <v>214780</v>
      </c>
      <c r="F126" s="431" t="s">
        <v>298</v>
      </c>
      <c r="G126" s="432"/>
    </row>
    <row r="127" spans="2:9" ht="33">
      <c r="B127" s="126" t="s">
        <v>269</v>
      </c>
      <c r="C127" s="127" t="s">
        <v>299</v>
      </c>
      <c r="D127" s="121" t="s">
        <v>300</v>
      </c>
      <c r="E127" s="122">
        <v>584310</v>
      </c>
      <c r="F127" s="121" t="s">
        <v>301</v>
      </c>
      <c r="G127" s="121" t="s">
        <v>272</v>
      </c>
    </row>
    <row r="128" spans="2:9" ht="33">
      <c r="B128" s="126" t="s">
        <v>282</v>
      </c>
      <c r="C128" s="127" t="s">
        <v>283</v>
      </c>
      <c r="D128" s="128" t="s">
        <v>284</v>
      </c>
      <c r="E128" s="129">
        <v>2191530</v>
      </c>
      <c r="F128" s="121" t="s">
        <v>302</v>
      </c>
      <c r="G128" s="128" t="s">
        <v>272</v>
      </c>
    </row>
    <row r="129" spans="2:19">
      <c r="B129" s="427" t="s">
        <v>286</v>
      </c>
      <c r="C129" s="127" t="s">
        <v>303</v>
      </c>
      <c r="D129" s="128" t="s">
        <v>304</v>
      </c>
      <c r="E129" s="129">
        <v>2697290</v>
      </c>
      <c r="F129" s="121" t="s">
        <v>305</v>
      </c>
      <c r="G129" s="128" t="s">
        <v>272</v>
      </c>
    </row>
    <row r="130" spans="2:19">
      <c r="B130" s="428"/>
      <c r="C130" s="127" t="s">
        <v>306</v>
      </c>
      <c r="D130" s="128" t="s">
        <v>307</v>
      </c>
      <c r="E130" s="129">
        <v>1223850</v>
      </c>
      <c r="F130" s="121" t="s">
        <v>308</v>
      </c>
      <c r="G130" s="128" t="s">
        <v>309</v>
      </c>
    </row>
    <row r="131" spans="2:19">
      <c r="B131" s="429"/>
      <c r="C131" s="123" t="s">
        <v>310</v>
      </c>
      <c r="D131" s="124" t="s">
        <v>288</v>
      </c>
      <c r="E131" s="125">
        <f>E129+E130</f>
        <v>3921140</v>
      </c>
      <c r="F131" s="130"/>
      <c r="G131" s="124"/>
    </row>
    <row r="132" spans="2:19">
      <c r="B132" s="119"/>
      <c r="C132" s="416" t="s">
        <v>290</v>
      </c>
      <c r="D132" s="416"/>
      <c r="E132" s="120">
        <f>E126+E127+E128+E131</f>
        <v>6911760</v>
      </c>
      <c r="F132" s="417"/>
      <c r="G132" s="418"/>
    </row>
    <row r="133" spans="2:19" ht="17.25" thickBot="1"/>
    <row r="134" spans="2:19" ht="32.25" thickBot="1">
      <c r="B134" s="398" t="s">
        <v>314</v>
      </c>
      <c r="C134" s="399"/>
      <c r="D134" s="399"/>
      <c r="E134" s="399"/>
      <c r="F134" s="399"/>
      <c r="G134" s="399"/>
      <c r="H134" s="109" t="s">
        <v>435</v>
      </c>
      <c r="I134" s="110">
        <f>F175+F178+F192+F193</f>
        <v>188116100</v>
      </c>
    </row>
    <row r="135" spans="2:19">
      <c r="B135" s="134"/>
      <c r="C135" s="134"/>
      <c r="D135" s="134"/>
      <c r="E135" s="134"/>
      <c r="F135" s="134"/>
      <c r="G135" s="134"/>
      <c r="H135" s="438" t="s">
        <v>315</v>
      </c>
      <c r="I135" s="438"/>
      <c r="J135" s="438"/>
      <c r="K135" s="438"/>
      <c r="L135" s="438"/>
      <c r="M135" s="438"/>
      <c r="N135" s="134"/>
      <c r="O135" s="134"/>
      <c r="P135" s="134"/>
      <c r="Q135" s="134"/>
      <c r="R135" s="134"/>
      <c r="S135" s="134"/>
    </row>
    <row r="136" spans="2:19">
      <c r="B136" s="422" t="s">
        <v>316</v>
      </c>
      <c r="C136" s="422"/>
      <c r="D136" s="154" t="s">
        <v>317</v>
      </c>
      <c r="E136" s="422" t="s">
        <v>18</v>
      </c>
      <c r="F136" s="422"/>
      <c r="G136" s="422"/>
      <c r="H136" s="134"/>
      <c r="I136" s="134"/>
      <c r="J136" s="134"/>
      <c r="K136" s="134"/>
      <c r="L136" s="134"/>
      <c r="M136" s="134"/>
      <c r="N136" s="134"/>
      <c r="O136" s="134"/>
      <c r="P136" s="134"/>
      <c r="Q136" s="134"/>
      <c r="R136" s="134"/>
      <c r="S136" s="134"/>
    </row>
    <row r="137" spans="2:19">
      <c r="B137" s="422" t="s">
        <v>318</v>
      </c>
      <c r="C137" s="422"/>
      <c r="D137" s="155">
        <v>45123901</v>
      </c>
      <c r="E137" s="422" t="s">
        <v>319</v>
      </c>
      <c r="F137" s="422"/>
      <c r="G137" s="422"/>
      <c r="H137" s="422"/>
      <c r="I137" s="422"/>
      <c r="J137" s="422"/>
      <c r="K137" s="134"/>
      <c r="L137" s="134"/>
      <c r="M137" s="134"/>
      <c r="N137" s="134"/>
      <c r="O137" s="134"/>
      <c r="P137" s="134"/>
      <c r="Q137" s="134"/>
      <c r="R137" s="134"/>
      <c r="S137" s="134"/>
    </row>
    <row r="138" spans="2:19">
      <c r="B138" s="423" t="s">
        <v>320</v>
      </c>
      <c r="C138" s="387" t="s">
        <v>321</v>
      </c>
      <c r="D138" s="387"/>
      <c r="E138" s="387"/>
      <c r="F138" s="387" t="s">
        <v>322</v>
      </c>
      <c r="G138" s="387" t="s">
        <v>323</v>
      </c>
      <c r="H138" s="387"/>
      <c r="I138" s="387" t="s">
        <v>324</v>
      </c>
      <c r="J138" s="387" t="s">
        <v>325</v>
      </c>
      <c r="K138" s="387"/>
      <c r="L138" s="419" t="s">
        <v>326</v>
      </c>
      <c r="M138" s="419"/>
      <c r="N138" s="419"/>
      <c r="O138" s="419"/>
      <c r="P138" s="419"/>
      <c r="Q138" s="419"/>
      <c r="R138" s="387" t="s">
        <v>327</v>
      </c>
      <c r="S138" s="420" t="s">
        <v>328</v>
      </c>
    </row>
    <row r="139" spans="2:19">
      <c r="B139" s="423"/>
      <c r="C139" s="387"/>
      <c r="D139" s="387"/>
      <c r="E139" s="387"/>
      <c r="F139" s="387"/>
      <c r="G139" s="387"/>
      <c r="H139" s="387"/>
      <c r="I139" s="387"/>
      <c r="J139" s="387"/>
      <c r="K139" s="387"/>
      <c r="L139" s="138" t="s">
        <v>329</v>
      </c>
      <c r="M139" s="421" t="s">
        <v>330</v>
      </c>
      <c r="N139" s="421"/>
      <c r="O139" s="138" t="s">
        <v>331</v>
      </c>
      <c r="P139" s="138" t="s">
        <v>332</v>
      </c>
      <c r="Q139" s="138" t="s">
        <v>333</v>
      </c>
      <c r="R139" s="387"/>
      <c r="S139" s="420"/>
    </row>
    <row r="140" spans="2:19" ht="31.5">
      <c r="B140" s="139">
        <v>44571</v>
      </c>
      <c r="C140" s="400" t="s">
        <v>334</v>
      </c>
      <c r="D140" s="400"/>
      <c r="E140" s="400"/>
      <c r="F140" s="141">
        <v>21225290</v>
      </c>
      <c r="G140" s="401">
        <v>0</v>
      </c>
      <c r="H140" s="401"/>
      <c r="I140" s="140" t="s">
        <v>335</v>
      </c>
      <c r="J140" s="401">
        <v>21225290</v>
      </c>
      <c r="K140" s="401"/>
      <c r="L140" s="402" t="s">
        <v>336</v>
      </c>
      <c r="M140" s="402"/>
      <c r="N140" s="402"/>
      <c r="O140" s="402"/>
      <c r="P140" s="402"/>
      <c r="Q140" s="402"/>
      <c r="R140" s="140" t="s">
        <v>337</v>
      </c>
      <c r="S140" s="142"/>
    </row>
    <row r="141" spans="2:19" ht="31.5">
      <c r="B141" s="143">
        <v>44581</v>
      </c>
      <c r="C141" s="385" t="s">
        <v>334</v>
      </c>
      <c r="D141" s="385"/>
      <c r="E141" s="385"/>
      <c r="F141" s="157">
        <v>121500</v>
      </c>
      <c r="G141" s="386">
        <v>0</v>
      </c>
      <c r="H141" s="386"/>
      <c r="I141" s="156" t="s">
        <v>335</v>
      </c>
      <c r="J141" s="386">
        <v>21346790</v>
      </c>
      <c r="K141" s="386"/>
      <c r="L141" s="403" t="s">
        <v>338</v>
      </c>
      <c r="M141" s="403"/>
      <c r="N141" s="403"/>
      <c r="O141" s="403"/>
      <c r="P141" s="403"/>
      <c r="Q141" s="403"/>
      <c r="R141" s="156" t="s">
        <v>339</v>
      </c>
      <c r="S141" s="144"/>
    </row>
    <row r="142" spans="2:19" ht="31.5">
      <c r="B142" s="143">
        <v>44581</v>
      </c>
      <c r="C142" s="385" t="s">
        <v>334</v>
      </c>
      <c r="D142" s="385"/>
      <c r="E142" s="385"/>
      <c r="F142" s="157">
        <v>27000</v>
      </c>
      <c r="G142" s="386">
        <v>0</v>
      </c>
      <c r="H142" s="386"/>
      <c r="I142" s="156" t="s">
        <v>335</v>
      </c>
      <c r="J142" s="386">
        <v>21373790</v>
      </c>
      <c r="K142" s="386"/>
      <c r="L142" s="403" t="s">
        <v>340</v>
      </c>
      <c r="M142" s="403"/>
      <c r="N142" s="403"/>
      <c r="O142" s="403"/>
      <c r="P142" s="403"/>
      <c r="Q142" s="403"/>
      <c r="R142" s="156" t="s">
        <v>341</v>
      </c>
      <c r="S142" s="144"/>
    </row>
    <row r="143" spans="2:19" ht="31.5">
      <c r="B143" s="143">
        <v>44587</v>
      </c>
      <c r="C143" s="385" t="s">
        <v>334</v>
      </c>
      <c r="D143" s="385"/>
      <c r="E143" s="385"/>
      <c r="F143" s="157">
        <v>1500000</v>
      </c>
      <c r="G143" s="386">
        <v>0</v>
      </c>
      <c r="H143" s="386"/>
      <c r="I143" s="156" t="s">
        <v>335</v>
      </c>
      <c r="J143" s="386">
        <v>22873790</v>
      </c>
      <c r="K143" s="386"/>
      <c r="L143" s="403" t="s">
        <v>342</v>
      </c>
      <c r="M143" s="403"/>
      <c r="N143" s="403"/>
      <c r="O143" s="403"/>
      <c r="P143" s="403"/>
      <c r="Q143" s="403"/>
      <c r="R143" s="156" t="s">
        <v>343</v>
      </c>
      <c r="S143" s="144"/>
    </row>
    <row r="144" spans="2:19" ht="31.5">
      <c r="B144" s="143">
        <v>44587</v>
      </c>
      <c r="C144" s="385" t="s">
        <v>334</v>
      </c>
      <c r="D144" s="385"/>
      <c r="E144" s="385"/>
      <c r="F144" s="157">
        <v>20000</v>
      </c>
      <c r="G144" s="386">
        <v>0</v>
      </c>
      <c r="H144" s="386"/>
      <c r="I144" s="156" t="s">
        <v>335</v>
      </c>
      <c r="J144" s="386">
        <v>22893790</v>
      </c>
      <c r="K144" s="386"/>
      <c r="L144" s="403" t="s">
        <v>344</v>
      </c>
      <c r="M144" s="403"/>
      <c r="N144" s="403"/>
      <c r="O144" s="403"/>
      <c r="P144" s="403"/>
      <c r="Q144" s="403"/>
      <c r="R144" s="156" t="s">
        <v>345</v>
      </c>
      <c r="S144" s="144"/>
    </row>
    <row r="145" spans="2:19" ht="31.5">
      <c r="B145" s="145">
        <v>44589</v>
      </c>
      <c r="C145" s="390" t="s">
        <v>334</v>
      </c>
      <c r="D145" s="390"/>
      <c r="E145" s="390"/>
      <c r="F145" s="147">
        <v>80650</v>
      </c>
      <c r="G145" s="391">
        <v>0</v>
      </c>
      <c r="H145" s="391"/>
      <c r="I145" s="146" t="s">
        <v>335</v>
      </c>
      <c r="J145" s="391">
        <v>22974440</v>
      </c>
      <c r="K145" s="391"/>
      <c r="L145" s="404" t="s">
        <v>346</v>
      </c>
      <c r="M145" s="404"/>
      <c r="N145" s="404"/>
      <c r="O145" s="404"/>
      <c r="P145" s="404"/>
      <c r="Q145" s="404"/>
      <c r="R145" s="146" t="s">
        <v>347</v>
      </c>
      <c r="S145" s="148"/>
    </row>
    <row r="146" spans="2:19">
      <c r="B146" s="135"/>
      <c r="C146" s="387" t="s">
        <v>348</v>
      </c>
      <c r="D146" s="387"/>
      <c r="E146" s="387"/>
      <c r="F146" s="149">
        <v>22974440</v>
      </c>
      <c r="G146" s="388">
        <v>0</v>
      </c>
      <c r="H146" s="388"/>
      <c r="I146" s="136"/>
      <c r="J146" s="389"/>
      <c r="K146" s="389"/>
      <c r="L146" s="136"/>
      <c r="M146" s="387"/>
      <c r="N146" s="387"/>
      <c r="O146" s="136"/>
      <c r="P146" s="136"/>
      <c r="Q146" s="136"/>
      <c r="R146" s="136"/>
      <c r="S146" s="137"/>
    </row>
    <row r="147" spans="2:19" ht="31.5">
      <c r="B147" s="150">
        <v>44602</v>
      </c>
      <c r="C147" s="434" t="s">
        <v>334</v>
      </c>
      <c r="D147" s="434"/>
      <c r="E147" s="434"/>
      <c r="F147" s="152">
        <v>46380810</v>
      </c>
      <c r="G147" s="435">
        <v>0</v>
      </c>
      <c r="H147" s="435"/>
      <c r="I147" s="151" t="s">
        <v>335</v>
      </c>
      <c r="J147" s="435">
        <v>69355250</v>
      </c>
      <c r="K147" s="435"/>
      <c r="L147" s="436" t="s">
        <v>349</v>
      </c>
      <c r="M147" s="436"/>
      <c r="N147" s="436"/>
      <c r="O147" s="436"/>
      <c r="P147" s="436"/>
      <c r="Q147" s="436"/>
      <c r="R147" s="151" t="s">
        <v>350</v>
      </c>
      <c r="S147" s="153"/>
    </row>
    <row r="148" spans="2:19">
      <c r="B148" s="135"/>
      <c r="C148" s="387" t="s">
        <v>348</v>
      </c>
      <c r="D148" s="387"/>
      <c r="E148" s="387"/>
      <c r="F148" s="149">
        <v>46380810</v>
      </c>
      <c r="G148" s="388">
        <v>0</v>
      </c>
      <c r="H148" s="388"/>
      <c r="I148" s="136"/>
      <c r="J148" s="389"/>
      <c r="K148" s="389"/>
      <c r="L148" s="136"/>
      <c r="M148" s="387"/>
      <c r="N148" s="387"/>
      <c r="O148" s="136"/>
      <c r="P148" s="136"/>
      <c r="Q148" s="136"/>
      <c r="R148" s="136"/>
      <c r="S148" s="137"/>
    </row>
    <row r="149" spans="2:19" ht="31.5">
      <c r="B149" s="139">
        <v>44628</v>
      </c>
      <c r="C149" s="400" t="s">
        <v>334</v>
      </c>
      <c r="D149" s="400"/>
      <c r="E149" s="400"/>
      <c r="F149" s="141">
        <v>40000</v>
      </c>
      <c r="G149" s="401">
        <v>0</v>
      </c>
      <c r="H149" s="401"/>
      <c r="I149" s="140" t="s">
        <v>335</v>
      </c>
      <c r="J149" s="401">
        <v>69395250</v>
      </c>
      <c r="K149" s="401"/>
      <c r="L149" s="402" t="s">
        <v>351</v>
      </c>
      <c r="M149" s="402"/>
      <c r="N149" s="402"/>
      <c r="O149" s="402"/>
      <c r="P149" s="402"/>
      <c r="Q149" s="402"/>
      <c r="R149" s="140" t="s">
        <v>352</v>
      </c>
      <c r="S149" s="142"/>
    </row>
    <row r="150" spans="2:19" ht="31.5">
      <c r="B150" s="143">
        <v>44628</v>
      </c>
      <c r="C150" s="385" t="s">
        <v>334</v>
      </c>
      <c r="D150" s="385"/>
      <c r="E150" s="385"/>
      <c r="F150" s="157">
        <v>20000</v>
      </c>
      <c r="G150" s="386">
        <v>0</v>
      </c>
      <c r="H150" s="386"/>
      <c r="I150" s="156" t="s">
        <v>335</v>
      </c>
      <c r="J150" s="386">
        <v>69415250</v>
      </c>
      <c r="K150" s="386"/>
      <c r="L150" s="403" t="s">
        <v>353</v>
      </c>
      <c r="M150" s="403"/>
      <c r="N150" s="403"/>
      <c r="O150" s="403"/>
      <c r="P150" s="403"/>
      <c r="Q150" s="403"/>
      <c r="R150" s="156" t="s">
        <v>354</v>
      </c>
      <c r="S150" s="144"/>
    </row>
    <row r="151" spans="2:19" ht="31.5">
      <c r="B151" s="143">
        <v>44630</v>
      </c>
      <c r="C151" s="385" t="s">
        <v>334</v>
      </c>
      <c r="D151" s="385"/>
      <c r="E151" s="385"/>
      <c r="F151" s="157">
        <v>17669310</v>
      </c>
      <c r="G151" s="386">
        <v>0</v>
      </c>
      <c r="H151" s="386"/>
      <c r="I151" s="156" t="s">
        <v>335</v>
      </c>
      <c r="J151" s="386">
        <v>87084560</v>
      </c>
      <c r="K151" s="386"/>
      <c r="L151" s="403" t="s">
        <v>355</v>
      </c>
      <c r="M151" s="403"/>
      <c r="N151" s="403"/>
      <c r="O151" s="403"/>
      <c r="P151" s="403"/>
      <c r="Q151" s="403"/>
      <c r="R151" s="156" t="s">
        <v>356</v>
      </c>
      <c r="S151" s="144"/>
    </row>
    <row r="152" spans="2:19" ht="31.5">
      <c r="B152" s="145">
        <v>44635</v>
      </c>
      <c r="C152" s="390" t="s">
        <v>334</v>
      </c>
      <c r="D152" s="390"/>
      <c r="E152" s="390"/>
      <c r="F152" s="147">
        <v>550000</v>
      </c>
      <c r="G152" s="391">
        <v>0</v>
      </c>
      <c r="H152" s="391"/>
      <c r="I152" s="146" t="s">
        <v>335</v>
      </c>
      <c r="J152" s="391">
        <v>87634560</v>
      </c>
      <c r="K152" s="391"/>
      <c r="L152" s="404" t="s">
        <v>357</v>
      </c>
      <c r="M152" s="404"/>
      <c r="N152" s="404"/>
      <c r="O152" s="404"/>
      <c r="P152" s="404"/>
      <c r="Q152" s="404"/>
      <c r="R152" s="146" t="s">
        <v>358</v>
      </c>
      <c r="S152" s="148"/>
    </row>
    <row r="153" spans="2:19">
      <c r="B153" s="135"/>
      <c r="C153" s="387" t="s">
        <v>348</v>
      </c>
      <c r="D153" s="387"/>
      <c r="E153" s="387"/>
      <c r="F153" s="149">
        <v>18279310</v>
      </c>
      <c r="G153" s="388">
        <v>0</v>
      </c>
      <c r="H153" s="388"/>
      <c r="I153" s="136"/>
      <c r="J153" s="389"/>
      <c r="K153" s="389"/>
      <c r="L153" s="136"/>
      <c r="M153" s="387"/>
      <c r="N153" s="387"/>
      <c r="O153" s="136"/>
      <c r="P153" s="136"/>
      <c r="Q153" s="136"/>
      <c r="R153" s="136"/>
      <c r="S153" s="137"/>
    </row>
    <row r="154" spans="2:19" ht="31.5">
      <c r="B154" s="139">
        <v>44658</v>
      </c>
      <c r="C154" s="400" t="s">
        <v>334</v>
      </c>
      <c r="D154" s="400"/>
      <c r="E154" s="400"/>
      <c r="F154" s="141">
        <v>350000</v>
      </c>
      <c r="G154" s="401">
        <v>0</v>
      </c>
      <c r="H154" s="401"/>
      <c r="I154" s="140" t="s">
        <v>335</v>
      </c>
      <c r="J154" s="401">
        <v>87984560</v>
      </c>
      <c r="K154" s="401"/>
      <c r="L154" s="402" t="s">
        <v>359</v>
      </c>
      <c r="M154" s="402"/>
      <c r="N154" s="402"/>
      <c r="O154" s="402"/>
      <c r="P154" s="402"/>
      <c r="Q154" s="402"/>
      <c r="R154" s="140" t="s">
        <v>360</v>
      </c>
      <c r="S154" s="142"/>
    </row>
    <row r="155" spans="2:19" ht="31.5">
      <c r="B155" s="143">
        <v>44662</v>
      </c>
      <c r="C155" s="385" t="s">
        <v>334</v>
      </c>
      <c r="D155" s="385"/>
      <c r="E155" s="385"/>
      <c r="F155" s="157">
        <v>16735560</v>
      </c>
      <c r="G155" s="386">
        <v>0</v>
      </c>
      <c r="H155" s="386"/>
      <c r="I155" s="156" t="s">
        <v>335</v>
      </c>
      <c r="J155" s="386">
        <v>104720120</v>
      </c>
      <c r="K155" s="386"/>
      <c r="L155" s="403" t="s">
        <v>361</v>
      </c>
      <c r="M155" s="403"/>
      <c r="N155" s="403"/>
      <c r="O155" s="403"/>
      <c r="P155" s="403"/>
      <c r="Q155" s="403"/>
      <c r="R155" s="156" t="s">
        <v>362</v>
      </c>
      <c r="S155" s="144"/>
    </row>
    <row r="156" spans="2:19" ht="31.5">
      <c r="B156" s="143">
        <v>44663</v>
      </c>
      <c r="C156" s="433" t="s">
        <v>363</v>
      </c>
      <c r="D156" s="433"/>
      <c r="E156" s="433"/>
      <c r="F156" s="157">
        <v>350000</v>
      </c>
      <c r="G156" s="386">
        <v>0</v>
      </c>
      <c r="H156" s="386"/>
      <c r="I156" s="156" t="s">
        <v>335</v>
      </c>
      <c r="J156" s="386">
        <v>105070120</v>
      </c>
      <c r="K156" s="386"/>
      <c r="L156" s="403" t="s">
        <v>364</v>
      </c>
      <c r="M156" s="403"/>
      <c r="N156" s="403"/>
      <c r="O156" s="403"/>
      <c r="P156" s="403"/>
      <c r="Q156" s="403"/>
      <c r="R156" s="156" t="s">
        <v>365</v>
      </c>
      <c r="S156" s="144"/>
    </row>
    <row r="157" spans="2:19" ht="31.5">
      <c r="B157" s="143">
        <v>44665</v>
      </c>
      <c r="C157" s="385" t="s">
        <v>334</v>
      </c>
      <c r="D157" s="385"/>
      <c r="E157" s="385"/>
      <c r="F157" s="157">
        <v>40000</v>
      </c>
      <c r="G157" s="386">
        <v>0</v>
      </c>
      <c r="H157" s="386"/>
      <c r="I157" s="156" t="s">
        <v>335</v>
      </c>
      <c r="J157" s="386">
        <v>105110120</v>
      </c>
      <c r="K157" s="386"/>
      <c r="L157" s="403" t="s">
        <v>366</v>
      </c>
      <c r="M157" s="403"/>
      <c r="N157" s="403"/>
      <c r="O157" s="403"/>
      <c r="P157" s="403"/>
      <c r="Q157" s="403"/>
      <c r="R157" s="156" t="s">
        <v>367</v>
      </c>
      <c r="S157" s="144"/>
    </row>
    <row r="158" spans="2:19" ht="31.5">
      <c r="B158" s="143">
        <v>44670</v>
      </c>
      <c r="C158" s="385" t="s">
        <v>334</v>
      </c>
      <c r="D158" s="385"/>
      <c r="E158" s="385"/>
      <c r="F158" s="157">
        <v>1740000</v>
      </c>
      <c r="G158" s="386">
        <v>0</v>
      </c>
      <c r="H158" s="386"/>
      <c r="I158" s="156" t="s">
        <v>335</v>
      </c>
      <c r="J158" s="386">
        <v>106850120</v>
      </c>
      <c r="K158" s="386"/>
      <c r="L158" s="403" t="s">
        <v>357</v>
      </c>
      <c r="M158" s="403"/>
      <c r="N158" s="403"/>
      <c r="O158" s="403"/>
      <c r="P158" s="403"/>
      <c r="Q158" s="403"/>
      <c r="R158" s="156" t="s">
        <v>368</v>
      </c>
      <c r="S158" s="144"/>
    </row>
    <row r="159" spans="2:19" ht="31.5">
      <c r="B159" s="143">
        <v>44672</v>
      </c>
      <c r="C159" s="385" t="s">
        <v>334</v>
      </c>
      <c r="D159" s="385"/>
      <c r="E159" s="385"/>
      <c r="F159" s="157">
        <v>40000</v>
      </c>
      <c r="G159" s="386">
        <v>0</v>
      </c>
      <c r="H159" s="386"/>
      <c r="I159" s="156" t="s">
        <v>335</v>
      </c>
      <c r="J159" s="386">
        <v>106890120</v>
      </c>
      <c r="K159" s="386"/>
      <c r="L159" s="403" t="s">
        <v>369</v>
      </c>
      <c r="M159" s="403"/>
      <c r="N159" s="403"/>
      <c r="O159" s="403"/>
      <c r="P159" s="403"/>
      <c r="Q159" s="403"/>
      <c r="R159" s="156" t="s">
        <v>370</v>
      </c>
      <c r="S159" s="144"/>
    </row>
    <row r="160" spans="2:19" ht="31.5">
      <c r="B160" s="145">
        <v>44679</v>
      </c>
      <c r="C160" s="390" t="s">
        <v>334</v>
      </c>
      <c r="D160" s="390"/>
      <c r="E160" s="390"/>
      <c r="F160" s="147">
        <v>10500</v>
      </c>
      <c r="G160" s="391">
        <v>0</v>
      </c>
      <c r="H160" s="391"/>
      <c r="I160" s="146" t="s">
        <v>335</v>
      </c>
      <c r="J160" s="391">
        <v>106900620</v>
      </c>
      <c r="K160" s="391"/>
      <c r="L160" s="404" t="s">
        <v>371</v>
      </c>
      <c r="M160" s="404"/>
      <c r="N160" s="404"/>
      <c r="O160" s="404"/>
      <c r="P160" s="404"/>
      <c r="Q160" s="404"/>
      <c r="R160" s="146" t="s">
        <v>372</v>
      </c>
      <c r="S160" s="148"/>
    </row>
    <row r="161" spans="2:19">
      <c r="B161" s="135"/>
      <c r="C161" s="387" t="s">
        <v>348</v>
      </c>
      <c r="D161" s="387"/>
      <c r="E161" s="387"/>
      <c r="F161" s="149">
        <v>19266060</v>
      </c>
      <c r="G161" s="388">
        <v>0</v>
      </c>
      <c r="H161" s="388"/>
      <c r="I161" s="136"/>
      <c r="J161" s="389"/>
      <c r="K161" s="389"/>
      <c r="L161" s="136"/>
      <c r="M161" s="387"/>
      <c r="N161" s="387"/>
      <c r="O161" s="136"/>
      <c r="P161" s="136"/>
      <c r="Q161" s="136"/>
      <c r="R161" s="136"/>
      <c r="S161" s="137"/>
    </row>
    <row r="162" spans="2:19" ht="31.5">
      <c r="B162" s="139">
        <v>44691</v>
      </c>
      <c r="C162" s="400" t="s">
        <v>334</v>
      </c>
      <c r="D162" s="400"/>
      <c r="E162" s="400"/>
      <c r="F162" s="141">
        <v>15302540</v>
      </c>
      <c r="G162" s="401">
        <v>0</v>
      </c>
      <c r="H162" s="401"/>
      <c r="I162" s="140" t="s">
        <v>335</v>
      </c>
      <c r="J162" s="401">
        <v>122203160</v>
      </c>
      <c r="K162" s="401"/>
      <c r="L162" s="402" t="s">
        <v>373</v>
      </c>
      <c r="M162" s="402"/>
      <c r="N162" s="402"/>
      <c r="O162" s="402"/>
      <c r="P162" s="402"/>
      <c r="Q162" s="402"/>
      <c r="R162" s="140" t="s">
        <v>374</v>
      </c>
      <c r="S162" s="142"/>
    </row>
    <row r="163" spans="2:19" ht="31.5">
      <c r="B163" s="145">
        <v>44705</v>
      </c>
      <c r="C163" s="390" t="s">
        <v>334</v>
      </c>
      <c r="D163" s="390"/>
      <c r="E163" s="390"/>
      <c r="F163" s="147">
        <v>20000</v>
      </c>
      <c r="G163" s="391">
        <v>0</v>
      </c>
      <c r="H163" s="391"/>
      <c r="I163" s="146" t="s">
        <v>335</v>
      </c>
      <c r="J163" s="391">
        <v>122223160</v>
      </c>
      <c r="K163" s="391"/>
      <c r="L163" s="404" t="s">
        <v>375</v>
      </c>
      <c r="M163" s="404"/>
      <c r="N163" s="404"/>
      <c r="O163" s="404"/>
      <c r="P163" s="404"/>
      <c r="Q163" s="404"/>
      <c r="R163" s="146" t="s">
        <v>376</v>
      </c>
      <c r="S163" s="148"/>
    </row>
    <row r="164" spans="2:19"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  <c r="L164" s="134"/>
      <c r="M164" s="134"/>
      <c r="N164" s="134"/>
      <c r="O164" s="134"/>
      <c r="P164" s="134"/>
      <c r="Q164" s="134"/>
      <c r="R164" s="134"/>
      <c r="S164" s="134"/>
    </row>
    <row r="165" spans="2:19">
      <c r="B165" s="422" t="s">
        <v>316</v>
      </c>
      <c r="C165" s="422"/>
      <c r="D165" s="154" t="s">
        <v>317</v>
      </c>
      <c r="E165" s="422" t="s">
        <v>18</v>
      </c>
      <c r="F165" s="422"/>
      <c r="G165" s="422"/>
      <c r="H165" s="134"/>
      <c r="I165" s="134"/>
      <c r="J165" s="134"/>
      <c r="K165" s="134"/>
      <c r="L165" s="134"/>
      <c r="M165" s="134"/>
      <c r="N165" s="134"/>
      <c r="O165" s="134"/>
      <c r="P165" s="134"/>
      <c r="Q165" s="134"/>
      <c r="R165" s="134"/>
      <c r="S165" s="134"/>
    </row>
    <row r="166" spans="2:19">
      <c r="B166" s="422" t="s">
        <v>318</v>
      </c>
      <c r="C166" s="422"/>
      <c r="D166" s="155">
        <v>45123901</v>
      </c>
      <c r="E166" s="422" t="s">
        <v>319</v>
      </c>
      <c r="F166" s="422"/>
      <c r="G166" s="422"/>
      <c r="H166" s="422"/>
      <c r="I166" s="422"/>
      <c r="J166" s="422"/>
      <c r="K166" s="134"/>
      <c r="L166" s="134"/>
      <c r="M166" s="134"/>
      <c r="N166" s="134"/>
      <c r="O166" s="134"/>
      <c r="P166" s="134"/>
      <c r="Q166" s="134"/>
      <c r="R166" s="134"/>
      <c r="S166" s="134"/>
    </row>
    <row r="167" spans="2:19">
      <c r="B167" s="423" t="s">
        <v>320</v>
      </c>
      <c r="C167" s="387" t="s">
        <v>321</v>
      </c>
      <c r="D167" s="387"/>
      <c r="E167" s="387"/>
      <c r="F167" s="387" t="s">
        <v>322</v>
      </c>
      <c r="G167" s="387" t="s">
        <v>323</v>
      </c>
      <c r="H167" s="387"/>
      <c r="I167" s="387" t="s">
        <v>324</v>
      </c>
      <c r="J167" s="387" t="s">
        <v>325</v>
      </c>
      <c r="K167" s="387"/>
      <c r="L167" s="419" t="s">
        <v>326</v>
      </c>
      <c r="M167" s="419"/>
      <c r="N167" s="419"/>
      <c r="O167" s="419"/>
      <c r="P167" s="419"/>
      <c r="Q167" s="419"/>
      <c r="R167" s="387" t="s">
        <v>327</v>
      </c>
      <c r="S167" s="420" t="s">
        <v>328</v>
      </c>
    </row>
    <row r="168" spans="2:19">
      <c r="B168" s="423"/>
      <c r="C168" s="387"/>
      <c r="D168" s="387"/>
      <c r="E168" s="387"/>
      <c r="F168" s="387"/>
      <c r="G168" s="387"/>
      <c r="H168" s="387"/>
      <c r="I168" s="387"/>
      <c r="J168" s="387"/>
      <c r="K168" s="387"/>
      <c r="L168" s="138" t="s">
        <v>329</v>
      </c>
      <c r="M168" s="421" t="s">
        <v>330</v>
      </c>
      <c r="N168" s="421"/>
      <c r="O168" s="138" t="s">
        <v>331</v>
      </c>
      <c r="P168" s="138" t="s">
        <v>332</v>
      </c>
      <c r="Q168" s="138" t="s">
        <v>333</v>
      </c>
      <c r="R168" s="387"/>
      <c r="S168" s="420"/>
    </row>
    <row r="169" spans="2:19" ht="31.5">
      <c r="B169" s="150">
        <v>44708</v>
      </c>
      <c r="C169" s="437" t="s">
        <v>363</v>
      </c>
      <c r="D169" s="437"/>
      <c r="E169" s="437"/>
      <c r="F169" s="152">
        <v>350000</v>
      </c>
      <c r="G169" s="435">
        <v>0</v>
      </c>
      <c r="H169" s="435"/>
      <c r="I169" s="151" t="s">
        <v>335</v>
      </c>
      <c r="J169" s="435">
        <v>122573160</v>
      </c>
      <c r="K169" s="435"/>
      <c r="L169" s="436" t="s">
        <v>377</v>
      </c>
      <c r="M169" s="436"/>
      <c r="N169" s="436"/>
      <c r="O169" s="436"/>
      <c r="P169" s="436"/>
      <c r="Q169" s="436"/>
      <c r="R169" s="151" t="s">
        <v>378</v>
      </c>
      <c r="S169" s="153"/>
    </row>
    <row r="170" spans="2:19">
      <c r="B170" s="135"/>
      <c r="C170" s="387" t="s">
        <v>348</v>
      </c>
      <c r="D170" s="387"/>
      <c r="E170" s="387"/>
      <c r="F170" s="149">
        <v>15672540</v>
      </c>
      <c r="G170" s="388">
        <v>0</v>
      </c>
      <c r="H170" s="388"/>
      <c r="I170" s="136"/>
      <c r="J170" s="389"/>
      <c r="K170" s="389"/>
      <c r="L170" s="136"/>
      <c r="M170" s="387"/>
      <c r="N170" s="387"/>
      <c r="O170" s="136"/>
      <c r="P170" s="136"/>
      <c r="Q170" s="136"/>
      <c r="R170" s="136"/>
      <c r="S170" s="137"/>
    </row>
    <row r="171" spans="2:19" ht="31.5">
      <c r="B171" s="150">
        <v>44721</v>
      </c>
      <c r="C171" s="434" t="s">
        <v>334</v>
      </c>
      <c r="D171" s="434"/>
      <c r="E171" s="434"/>
      <c r="F171" s="152">
        <v>32917920</v>
      </c>
      <c r="G171" s="435">
        <v>0</v>
      </c>
      <c r="H171" s="435"/>
      <c r="I171" s="151" t="s">
        <v>335</v>
      </c>
      <c r="J171" s="435">
        <v>155491080</v>
      </c>
      <c r="K171" s="435"/>
      <c r="L171" s="436" t="s">
        <v>379</v>
      </c>
      <c r="M171" s="436"/>
      <c r="N171" s="436"/>
      <c r="O171" s="436"/>
      <c r="P171" s="436"/>
      <c r="Q171" s="436"/>
      <c r="R171" s="151" t="s">
        <v>380</v>
      </c>
      <c r="S171" s="153"/>
    </row>
    <row r="172" spans="2:19">
      <c r="B172" s="135"/>
      <c r="C172" s="387" t="s">
        <v>348</v>
      </c>
      <c r="D172" s="387"/>
      <c r="E172" s="387"/>
      <c r="F172" s="149">
        <v>32917920</v>
      </c>
      <c r="G172" s="388">
        <v>0</v>
      </c>
      <c r="H172" s="388"/>
      <c r="I172" s="136"/>
      <c r="J172" s="389"/>
      <c r="K172" s="389"/>
      <c r="L172" s="136"/>
      <c r="M172" s="387"/>
      <c r="N172" s="387"/>
      <c r="O172" s="136"/>
      <c r="P172" s="136"/>
      <c r="Q172" s="136"/>
      <c r="R172" s="136"/>
      <c r="S172" s="137"/>
    </row>
    <row r="173" spans="2:19" ht="31.5">
      <c r="B173" s="139">
        <v>44743</v>
      </c>
      <c r="C173" s="400" t="s">
        <v>334</v>
      </c>
      <c r="D173" s="400"/>
      <c r="E173" s="400"/>
      <c r="F173" s="141">
        <v>150000</v>
      </c>
      <c r="G173" s="401">
        <v>0</v>
      </c>
      <c r="H173" s="401"/>
      <c r="I173" s="140" t="s">
        <v>335</v>
      </c>
      <c r="J173" s="401">
        <v>155641080</v>
      </c>
      <c r="K173" s="401"/>
      <c r="L173" s="402" t="s">
        <v>381</v>
      </c>
      <c r="M173" s="402"/>
      <c r="N173" s="402"/>
      <c r="O173" s="402"/>
      <c r="P173" s="402"/>
      <c r="Q173" s="402"/>
      <c r="R173" s="140" t="s">
        <v>382</v>
      </c>
      <c r="S173" s="142"/>
    </row>
    <row r="174" spans="2:19" ht="31.5">
      <c r="B174" s="143">
        <v>44753</v>
      </c>
      <c r="C174" s="385" t="s">
        <v>334</v>
      </c>
      <c r="D174" s="385"/>
      <c r="E174" s="385"/>
      <c r="F174" s="157">
        <v>17923900</v>
      </c>
      <c r="G174" s="386">
        <v>0</v>
      </c>
      <c r="H174" s="386"/>
      <c r="I174" s="156" t="s">
        <v>335</v>
      </c>
      <c r="J174" s="386">
        <v>173564980</v>
      </c>
      <c r="K174" s="386"/>
      <c r="L174" s="403" t="s">
        <v>383</v>
      </c>
      <c r="M174" s="403"/>
      <c r="N174" s="403"/>
      <c r="O174" s="403"/>
      <c r="P174" s="403"/>
      <c r="Q174" s="403"/>
      <c r="R174" s="156" t="s">
        <v>384</v>
      </c>
      <c r="S174" s="144"/>
    </row>
    <row r="175" spans="2:19" s="131" customFormat="1" ht="31.5">
      <c r="B175" s="158">
        <v>44771</v>
      </c>
      <c r="C175" s="411" t="s">
        <v>334</v>
      </c>
      <c r="D175" s="411"/>
      <c r="E175" s="411"/>
      <c r="F175" s="159">
        <v>123886430</v>
      </c>
      <c r="G175" s="412">
        <v>0</v>
      </c>
      <c r="H175" s="412"/>
      <c r="I175" s="160" t="s">
        <v>335</v>
      </c>
      <c r="J175" s="412">
        <v>297451410</v>
      </c>
      <c r="K175" s="412"/>
      <c r="L175" s="413" t="s">
        <v>385</v>
      </c>
      <c r="M175" s="413"/>
      <c r="N175" s="413"/>
      <c r="O175" s="413"/>
      <c r="P175" s="413"/>
      <c r="Q175" s="413"/>
      <c r="R175" s="160" t="s">
        <v>386</v>
      </c>
      <c r="S175" s="161"/>
    </row>
    <row r="176" spans="2:19">
      <c r="B176" s="135"/>
      <c r="C176" s="387" t="s">
        <v>348</v>
      </c>
      <c r="D176" s="387"/>
      <c r="E176" s="387"/>
      <c r="F176" s="149">
        <v>141960330</v>
      </c>
      <c r="G176" s="388">
        <v>0</v>
      </c>
      <c r="H176" s="388"/>
      <c r="I176" s="136"/>
      <c r="J176" s="389"/>
      <c r="K176" s="389"/>
      <c r="L176" s="136"/>
      <c r="M176" s="387"/>
      <c r="N176" s="387"/>
      <c r="O176" s="136"/>
      <c r="P176" s="136"/>
      <c r="Q176" s="136"/>
      <c r="R176" s="136"/>
      <c r="S176" s="137"/>
    </row>
    <row r="177" spans="2:19" ht="31.5">
      <c r="B177" s="139">
        <v>44776</v>
      </c>
      <c r="C177" s="400" t="s">
        <v>334</v>
      </c>
      <c r="D177" s="400"/>
      <c r="E177" s="400"/>
      <c r="F177" s="141">
        <v>500000</v>
      </c>
      <c r="G177" s="401">
        <v>0</v>
      </c>
      <c r="H177" s="401"/>
      <c r="I177" s="140" t="s">
        <v>335</v>
      </c>
      <c r="J177" s="401">
        <v>297951410</v>
      </c>
      <c r="K177" s="401"/>
      <c r="L177" s="402" t="s">
        <v>387</v>
      </c>
      <c r="M177" s="402"/>
      <c r="N177" s="402"/>
      <c r="O177" s="402"/>
      <c r="P177" s="402"/>
      <c r="Q177" s="402"/>
      <c r="R177" s="140" t="s">
        <v>388</v>
      </c>
      <c r="S177" s="142"/>
    </row>
    <row r="178" spans="2:19" s="131" customFormat="1" ht="31.5">
      <c r="B178" s="162">
        <v>44776</v>
      </c>
      <c r="C178" s="424" t="s">
        <v>334</v>
      </c>
      <c r="D178" s="424"/>
      <c r="E178" s="424"/>
      <c r="F178" s="163">
        <v>11126530</v>
      </c>
      <c r="G178" s="425">
        <v>0</v>
      </c>
      <c r="H178" s="425"/>
      <c r="I178" s="164" t="s">
        <v>335</v>
      </c>
      <c r="J178" s="425">
        <v>309077940</v>
      </c>
      <c r="K178" s="425"/>
      <c r="L178" s="426" t="s">
        <v>389</v>
      </c>
      <c r="M178" s="426"/>
      <c r="N178" s="426"/>
      <c r="O178" s="426"/>
      <c r="P178" s="426"/>
      <c r="Q178" s="426"/>
      <c r="R178" s="164" t="s">
        <v>390</v>
      </c>
      <c r="S178" s="165"/>
    </row>
    <row r="179" spans="2:19" ht="31.5">
      <c r="B179" s="143">
        <v>44777</v>
      </c>
      <c r="C179" s="385" t="s">
        <v>334</v>
      </c>
      <c r="D179" s="385"/>
      <c r="E179" s="385"/>
      <c r="F179" s="157">
        <v>20000</v>
      </c>
      <c r="G179" s="386">
        <v>0</v>
      </c>
      <c r="H179" s="386"/>
      <c r="I179" s="156" t="s">
        <v>335</v>
      </c>
      <c r="J179" s="386">
        <v>309097940</v>
      </c>
      <c r="K179" s="386"/>
      <c r="L179" s="403" t="s">
        <v>391</v>
      </c>
      <c r="M179" s="403"/>
      <c r="N179" s="403"/>
      <c r="O179" s="403"/>
      <c r="P179" s="403"/>
      <c r="Q179" s="403"/>
      <c r="R179" s="156" t="s">
        <v>392</v>
      </c>
      <c r="S179" s="144"/>
    </row>
    <row r="180" spans="2:19" ht="31.5">
      <c r="B180" s="143">
        <v>44778</v>
      </c>
      <c r="C180" s="385" t="s">
        <v>334</v>
      </c>
      <c r="D180" s="385"/>
      <c r="E180" s="385"/>
      <c r="F180" s="157">
        <v>5000000</v>
      </c>
      <c r="G180" s="386">
        <v>0</v>
      </c>
      <c r="H180" s="386"/>
      <c r="I180" s="156" t="s">
        <v>335</v>
      </c>
      <c r="J180" s="386">
        <v>314097940</v>
      </c>
      <c r="K180" s="386"/>
      <c r="L180" s="403" t="s">
        <v>393</v>
      </c>
      <c r="M180" s="403"/>
      <c r="N180" s="403"/>
      <c r="O180" s="403"/>
      <c r="P180" s="403"/>
      <c r="Q180" s="403"/>
      <c r="R180" s="156" t="s">
        <v>394</v>
      </c>
      <c r="S180" s="144"/>
    </row>
    <row r="181" spans="2:19" ht="31.5">
      <c r="B181" s="143">
        <v>44782</v>
      </c>
      <c r="C181" s="385" t="s">
        <v>334</v>
      </c>
      <c r="D181" s="385"/>
      <c r="E181" s="385"/>
      <c r="F181" s="157">
        <v>34636760</v>
      </c>
      <c r="G181" s="386">
        <v>0</v>
      </c>
      <c r="H181" s="386"/>
      <c r="I181" s="156" t="s">
        <v>335</v>
      </c>
      <c r="J181" s="386">
        <v>348734700</v>
      </c>
      <c r="K181" s="386"/>
      <c r="L181" s="403" t="s">
        <v>395</v>
      </c>
      <c r="M181" s="403"/>
      <c r="N181" s="403"/>
      <c r="O181" s="403"/>
      <c r="P181" s="403"/>
      <c r="Q181" s="403"/>
      <c r="R181" s="156" t="s">
        <v>396</v>
      </c>
      <c r="S181" s="144"/>
    </row>
    <row r="182" spans="2:19" ht="31.5">
      <c r="B182" s="143">
        <v>44784</v>
      </c>
      <c r="C182" s="385" t="s">
        <v>334</v>
      </c>
      <c r="D182" s="385"/>
      <c r="E182" s="385"/>
      <c r="F182" s="157">
        <v>20000</v>
      </c>
      <c r="G182" s="386">
        <v>0</v>
      </c>
      <c r="H182" s="386"/>
      <c r="I182" s="156" t="s">
        <v>335</v>
      </c>
      <c r="J182" s="386">
        <v>348754700</v>
      </c>
      <c r="K182" s="386"/>
      <c r="L182" s="403" t="s">
        <v>397</v>
      </c>
      <c r="M182" s="403"/>
      <c r="N182" s="403"/>
      <c r="O182" s="403"/>
      <c r="P182" s="403"/>
      <c r="Q182" s="403"/>
      <c r="R182" s="156" t="s">
        <v>398</v>
      </c>
      <c r="S182" s="144"/>
    </row>
    <row r="183" spans="2:19" ht="31.5">
      <c r="B183" s="143">
        <v>44792</v>
      </c>
      <c r="C183" s="385" t="s">
        <v>334</v>
      </c>
      <c r="D183" s="385"/>
      <c r="E183" s="385"/>
      <c r="F183" s="157">
        <v>20000</v>
      </c>
      <c r="G183" s="386">
        <v>0</v>
      </c>
      <c r="H183" s="386"/>
      <c r="I183" s="156" t="s">
        <v>335</v>
      </c>
      <c r="J183" s="386">
        <v>348774700</v>
      </c>
      <c r="K183" s="386"/>
      <c r="L183" s="403" t="s">
        <v>399</v>
      </c>
      <c r="M183" s="403"/>
      <c r="N183" s="403"/>
      <c r="O183" s="403"/>
      <c r="P183" s="403"/>
      <c r="Q183" s="403"/>
      <c r="R183" s="156" t="s">
        <v>400</v>
      </c>
      <c r="S183" s="144"/>
    </row>
    <row r="184" spans="2:19" ht="31.5">
      <c r="B184" s="143">
        <v>44792</v>
      </c>
      <c r="C184" s="385" t="s">
        <v>334</v>
      </c>
      <c r="D184" s="385"/>
      <c r="E184" s="385"/>
      <c r="F184" s="157">
        <v>20000</v>
      </c>
      <c r="G184" s="386">
        <v>0</v>
      </c>
      <c r="H184" s="386"/>
      <c r="I184" s="156" t="s">
        <v>335</v>
      </c>
      <c r="J184" s="386">
        <v>348794700</v>
      </c>
      <c r="K184" s="386"/>
      <c r="L184" s="403" t="s">
        <v>401</v>
      </c>
      <c r="M184" s="403"/>
      <c r="N184" s="403"/>
      <c r="O184" s="403"/>
      <c r="P184" s="403"/>
      <c r="Q184" s="403"/>
      <c r="R184" s="156" t="s">
        <v>402</v>
      </c>
      <c r="S184" s="144"/>
    </row>
    <row r="185" spans="2:19" ht="31.5">
      <c r="B185" s="143">
        <v>44799</v>
      </c>
      <c r="C185" s="385" t="s">
        <v>334</v>
      </c>
      <c r="D185" s="385"/>
      <c r="E185" s="385"/>
      <c r="F185" s="157">
        <v>160000</v>
      </c>
      <c r="G185" s="386">
        <v>0</v>
      </c>
      <c r="H185" s="386"/>
      <c r="I185" s="156" t="s">
        <v>335</v>
      </c>
      <c r="J185" s="386">
        <v>348954700</v>
      </c>
      <c r="K185" s="386"/>
      <c r="L185" s="403" t="s">
        <v>357</v>
      </c>
      <c r="M185" s="403"/>
      <c r="N185" s="403"/>
      <c r="O185" s="403"/>
      <c r="P185" s="403"/>
      <c r="Q185" s="403"/>
      <c r="R185" s="156" t="s">
        <v>403</v>
      </c>
      <c r="S185" s="144"/>
    </row>
    <row r="186" spans="2:19" ht="31.5">
      <c r="B186" s="143">
        <v>44803</v>
      </c>
      <c r="C186" s="385" t="s">
        <v>334</v>
      </c>
      <c r="D186" s="385"/>
      <c r="E186" s="385"/>
      <c r="F186" s="157">
        <v>8707000</v>
      </c>
      <c r="G186" s="386">
        <v>0</v>
      </c>
      <c r="H186" s="386"/>
      <c r="I186" s="156" t="s">
        <v>335</v>
      </c>
      <c r="J186" s="386">
        <v>357661700</v>
      </c>
      <c r="K186" s="386"/>
      <c r="L186" s="403" t="s">
        <v>404</v>
      </c>
      <c r="M186" s="403"/>
      <c r="N186" s="403"/>
      <c r="O186" s="403"/>
      <c r="P186" s="403"/>
      <c r="Q186" s="403"/>
      <c r="R186" s="156" t="s">
        <v>405</v>
      </c>
      <c r="S186" s="144"/>
    </row>
    <row r="187" spans="2:19" ht="31.5">
      <c r="B187" s="145">
        <v>44804</v>
      </c>
      <c r="C187" s="390" t="s">
        <v>334</v>
      </c>
      <c r="D187" s="390"/>
      <c r="E187" s="390"/>
      <c r="F187" s="147">
        <v>20000</v>
      </c>
      <c r="G187" s="391">
        <v>0</v>
      </c>
      <c r="H187" s="391"/>
      <c r="I187" s="146" t="s">
        <v>335</v>
      </c>
      <c r="J187" s="391">
        <v>357681700</v>
      </c>
      <c r="K187" s="391"/>
      <c r="L187" s="404" t="s">
        <v>406</v>
      </c>
      <c r="M187" s="404"/>
      <c r="N187" s="404"/>
      <c r="O187" s="404"/>
      <c r="P187" s="404"/>
      <c r="Q187" s="404"/>
      <c r="R187" s="146" t="s">
        <v>407</v>
      </c>
      <c r="S187" s="148"/>
    </row>
    <row r="188" spans="2:19">
      <c r="B188" s="135"/>
      <c r="C188" s="387" t="s">
        <v>348</v>
      </c>
      <c r="D188" s="387"/>
      <c r="E188" s="387"/>
      <c r="F188" s="149">
        <v>60230290</v>
      </c>
      <c r="G188" s="388">
        <v>0</v>
      </c>
      <c r="H188" s="388"/>
      <c r="I188" s="136"/>
      <c r="J188" s="389"/>
      <c r="K188" s="389"/>
      <c r="L188" s="136"/>
      <c r="M188" s="387"/>
      <c r="N188" s="387"/>
      <c r="O188" s="136"/>
      <c r="P188" s="136"/>
      <c r="Q188" s="136"/>
      <c r="R188" s="136"/>
      <c r="S188" s="137"/>
    </row>
    <row r="189" spans="2:19" ht="31.5">
      <c r="B189" s="139">
        <v>44809</v>
      </c>
      <c r="C189" s="400" t="s">
        <v>334</v>
      </c>
      <c r="D189" s="400"/>
      <c r="E189" s="400"/>
      <c r="F189" s="141">
        <v>20000</v>
      </c>
      <c r="G189" s="401">
        <v>0</v>
      </c>
      <c r="H189" s="401"/>
      <c r="I189" s="140" t="s">
        <v>335</v>
      </c>
      <c r="J189" s="401">
        <v>357701700</v>
      </c>
      <c r="K189" s="401"/>
      <c r="L189" s="402" t="s">
        <v>408</v>
      </c>
      <c r="M189" s="402"/>
      <c r="N189" s="402"/>
      <c r="O189" s="402"/>
      <c r="P189" s="402"/>
      <c r="Q189" s="402"/>
      <c r="R189" s="140" t="s">
        <v>409</v>
      </c>
      <c r="S189" s="142"/>
    </row>
    <row r="190" spans="2:19" ht="31.5">
      <c r="B190" s="143">
        <v>44812</v>
      </c>
      <c r="C190" s="385" t="s">
        <v>334</v>
      </c>
      <c r="D190" s="385"/>
      <c r="E190" s="385"/>
      <c r="F190" s="157">
        <v>19744950</v>
      </c>
      <c r="G190" s="386">
        <v>0</v>
      </c>
      <c r="H190" s="386"/>
      <c r="I190" s="156" t="s">
        <v>335</v>
      </c>
      <c r="J190" s="386">
        <v>377446650</v>
      </c>
      <c r="K190" s="386"/>
      <c r="L190" s="403" t="s">
        <v>410</v>
      </c>
      <c r="M190" s="403"/>
      <c r="N190" s="403"/>
      <c r="O190" s="403"/>
      <c r="P190" s="403"/>
      <c r="Q190" s="403"/>
      <c r="R190" s="156" t="s">
        <v>411</v>
      </c>
      <c r="S190" s="144"/>
    </row>
    <row r="191" spans="2:19" ht="31.5">
      <c r="B191" s="143">
        <v>44818</v>
      </c>
      <c r="C191" s="385" t="s">
        <v>334</v>
      </c>
      <c r="D191" s="385"/>
      <c r="E191" s="385"/>
      <c r="F191" s="157">
        <v>20000</v>
      </c>
      <c r="G191" s="386">
        <v>0</v>
      </c>
      <c r="H191" s="386"/>
      <c r="I191" s="156" t="s">
        <v>335</v>
      </c>
      <c r="J191" s="386">
        <v>377466650</v>
      </c>
      <c r="K191" s="386"/>
      <c r="L191" s="403" t="s">
        <v>412</v>
      </c>
      <c r="M191" s="403"/>
      <c r="N191" s="403"/>
      <c r="O191" s="403"/>
      <c r="P191" s="403"/>
      <c r="Q191" s="403"/>
      <c r="R191" s="156" t="s">
        <v>413</v>
      </c>
      <c r="S191" s="144"/>
    </row>
    <row r="192" spans="2:19" s="131" customFormat="1" ht="31.5">
      <c r="B192" s="162">
        <v>44826</v>
      </c>
      <c r="C192" s="424" t="s">
        <v>334</v>
      </c>
      <c r="D192" s="424"/>
      <c r="E192" s="424"/>
      <c r="F192" s="163">
        <v>46191380</v>
      </c>
      <c r="G192" s="425">
        <v>0</v>
      </c>
      <c r="H192" s="425"/>
      <c r="I192" s="164" t="s">
        <v>335</v>
      </c>
      <c r="J192" s="425">
        <v>423658030</v>
      </c>
      <c r="K192" s="425"/>
      <c r="L192" s="426" t="s">
        <v>414</v>
      </c>
      <c r="M192" s="426"/>
      <c r="N192" s="426"/>
      <c r="O192" s="426"/>
      <c r="P192" s="426"/>
      <c r="Q192" s="426"/>
      <c r="R192" s="164" t="s">
        <v>415</v>
      </c>
      <c r="S192" s="165"/>
    </row>
    <row r="193" spans="2:19" s="131" customFormat="1" ht="31.5">
      <c r="B193" s="158">
        <v>44830</v>
      </c>
      <c r="C193" s="411" t="s">
        <v>334</v>
      </c>
      <c r="D193" s="411"/>
      <c r="E193" s="411"/>
      <c r="F193" s="159">
        <v>6911760</v>
      </c>
      <c r="G193" s="412">
        <v>0</v>
      </c>
      <c r="H193" s="412"/>
      <c r="I193" s="160" t="s">
        <v>335</v>
      </c>
      <c r="J193" s="412">
        <v>430569790</v>
      </c>
      <c r="K193" s="412"/>
      <c r="L193" s="413" t="s">
        <v>416</v>
      </c>
      <c r="M193" s="413"/>
      <c r="N193" s="413"/>
      <c r="O193" s="413"/>
      <c r="P193" s="413"/>
      <c r="Q193" s="413"/>
      <c r="R193" s="160" t="s">
        <v>417</v>
      </c>
      <c r="S193" s="161"/>
    </row>
    <row r="194" spans="2:19">
      <c r="B194" s="134"/>
      <c r="C194" s="134"/>
      <c r="D194" s="134"/>
      <c r="E194" s="134"/>
      <c r="F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34"/>
      <c r="Q194" s="134"/>
      <c r="R194" s="134"/>
      <c r="S194" s="134"/>
    </row>
    <row r="195" spans="2:19">
      <c r="B195" s="422" t="s">
        <v>316</v>
      </c>
      <c r="C195" s="422"/>
      <c r="D195" s="154" t="s">
        <v>317</v>
      </c>
      <c r="E195" s="422" t="s">
        <v>18</v>
      </c>
      <c r="F195" s="422"/>
      <c r="G195" s="422"/>
      <c r="H195" s="134"/>
      <c r="I195" s="134"/>
      <c r="J195" s="134"/>
      <c r="K195" s="134"/>
      <c r="L195" s="134"/>
      <c r="M195" s="134"/>
      <c r="N195" s="134"/>
      <c r="O195" s="134"/>
      <c r="P195" s="134"/>
      <c r="Q195" s="134"/>
      <c r="R195" s="134"/>
      <c r="S195" s="134"/>
    </row>
    <row r="196" spans="2:19">
      <c r="B196" s="422" t="s">
        <v>318</v>
      </c>
      <c r="C196" s="422"/>
      <c r="D196" s="155">
        <v>45123901</v>
      </c>
      <c r="E196" s="422" t="s">
        <v>319</v>
      </c>
      <c r="F196" s="422"/>
      <c r="G196" s="422"/>
      <c r="H196" s="422"/>
      <c r="I196" s="422"/>
      <c r="J196" s="422"/>
      <c r="K196" s="134"/>
      <c r="L196" s="134"/>
      <c r="M196" s="134"/>
      <c r="N196" s="134"/>
      <c r="O196" s="134"/>
      <c r="P196" s="134"/>
      <c r="Q196" s="134"/>
      <c r="R196" s="134"/>
      <c r="S196" s="134"/>
    </row>
    <row r="197" spans="2:19">
      <c r="B197" s="423" t="s">
        <v>320</v>
      </c>
      <c r="C197" s="387" t="s">
        <v>321</v>
      </c>
      <c r="D197" s="387"/>
      <c r="E197" s="387"/>
      <c r="F197" s="387" t="s">
        <v>322</v>
      </c>
      <c r="G197" s="387" t="s">
        <v>323</v>
      </c>
      <c r="H197" s="387"/>
      <c r="I197" s="387" t="s">
        <v>324</v>
      </c>
      <c r="J197" s="387" t="s">
        <v>325</v>
      </c>
      <c r="K197" s="387"/>
      <c r="L197" s="419" t="s">
        <v>326</v>
      </c>
      <c r="M197" s="419"/>
      <c r="N197" s="419"/>
      <c r="O197" s="419"/>
      <c r="P197" s="419"/>
      <c r="Q197" s="419"/>
      <c r="R197" s="387" t="s">
        <v>327</v>
      </c>
      <c r="S197" s="420" t="s">
        <v>328</v>
      </c>
    </row>
    <row r="198" spans="2:19">
      <c r="B198" s="423"/>
      <c r="C198" s="387"/>
      <c r="D198" s="387"/>
      <c r="E198" s="387"/>
      <c r="F198" s="387"/>
      <c r="G198" s="387"/>
      <c r="H198" s="387"/>
      <c r="I198" s="387"/>
      <c r="J198" s="387"/>
      <c r="K198" s="387"/>
      <c r="L198" s="138" t="s">
        <v>329</v>
      </c>
      <c r="M198" s="421" t="s">
        <v>330</v>
      </c>
      <c r="N198" s="421"/>
      <c r="O198" s="138" t="s">
        <v>331</v>
      </c>
      <c r="P198" s="138" t="s">
        <v>332</v>
      </c>
      <c r="Q198" s="138" t="s">
        <v>333</v>
      </c>
      <c r="R198" s="387"/>
      <c r="S198" s="420"/>
    </row>
    <row r="199" spans="2:19" ht="31.5">
      <c r="B199" s="139">
        <v>44830</v>
      </c>
      <c r="C199" s="400" t="s">
        <v>334</v>
      </c>
      <c r="D199" s="400"/>
      <c r="E199" s="400"/>
      <c r="F199" s="141">
        <v>140000</v>
      </c>
      <c r="G199" s="401">
        <v>0</v>
      </c>
      <c r="H199" s="401"/>
      <c r="I199" s="140" t="s">
        <v>335</v>
      </c>
      <c r="J199" s="401">
        <v>430709790</v>
      </c>
      <c r="K199" s="401"/>
      <c r="L199" s="402" t="s">
        <v>418</v>
      </c>
      <c r="M199" s="402"/>
      <c r="N199" s="402"/>
      <c r="O199" s="402"/>
      <c r="P199" s="402"/>
      <c r="Q199" s="402"/>
      <c r="R199" s="140" t="s">
        <v>419</v>
      </c>
      <c r="S199" s="142"/>
    </row>
    <row r="200" spans="2:19" ht="31.5">
      <c r="B200" s="143">
        <v>44832</v>
      </c>
      <c r="C200" s="385" t="s">
        <v>334</v>
      </c>
      <c r="D200" s="385"/>
      <c r="E200" s="385"/>
      <c r="F200" s="157">
        <v>350000</v>
      </c>
      <c r="G200" s="386">
        <v>0</v>
      </c>
      <c r="H200" s="386"/>
      <c r="I200" s="156" t="s">
        <v>335</v>
      </c>
      <c r="J200" s="386">
        <v>431059790</v>
      </c>
      <c r="K200" s="386"/>
      <c r="L200" s="403" t="s">
        <v>420</v>
      </c>
      <c r="M200" s="403"/>
      <c r="N200" s="403"/>
      <c r="O200" s="403"/>
      <c r="P200" s="403"/>
      <c r="Q200" s="403"/>
      <c r="R200" s="156" t="s">
        <v>421</v>
      </c>
      <c r="S200" s="144"/>
    </row>
    <row r="201" spans="2:19" ht="31.5">
      <c r="B201" s="145">
        <v>44834</v>
      </c>
      <c r="C201" s="390" t="s">
        <v>334</v>
      </c>
      <c r="D201" s="390"/>
      <c r="E201" s="390"/>
      <c r="F201" s="147">
        <v>34000</v>
      </c>
      <c r="G201" s="391">
        <v>0</v>
      </c>
      <c r="H201" s="391"/>
      <c r="I201" s="146" t="s">
        <v>335</v>
      </c>
      <c r="J201" s="391">
        <v>431093790</v>
      </c>
      <c r="K201" s="391"/>
      <c r="L201" s="404" t="s">
        <v>422</v>
      </c>
      <c r="M201" s="404"/>
      <c r="N201" s="404"/>
      <c r="O201" s="404"/>
      <c r="P201" s="404"/>
      <c r="Q201" s="404"/>
      <c r="R201" s="146" t="s">
        <v>423</v>
      </c>
      <c r="S201" s="148"/>
    </row>
    <row r="202" spans="2:19">
      <c r="B202" s="135"/>
      <c r="C202" s="387" t="s">
        <v>348</v>
      </c>
      <c r="D202" s="387"/>
      <c r="E202" s="387"/>
      <c r="F202" s="149">
        <v>73412090</v>
      </c>
      <c r="G202" s="388">
        <v>0</v>
      </c>
      <c r="H202" s="388"/>
      <c r="I202" s="136"/>
      <c r="J202" s="389"/>
      <c r="K202" s="389"/>
      <c r="L202" s="136"/>
      <c r="M202" s="387"/>
      <c r="N202" s="387"/>
      <c r="O202" s="136"/>
      <c r="P202" s="136"/>
      <c r="Q202" s="136"/>
      <c r="R202" s="136"/>
      <c r="S202" s="137"/>
    </row>
    <row r="203" spans="2:19" ht="31.5">
      <c r="B203" s="139">
        <v>44839</v>
      </c>
      <c r="C203" s="400" t="s">
        <v>334</v>
      </c>
      <c r="D203" s="400"/>
      <c r="E203" s="400"/>
      <c r="F203" s="141">
        <v>300000</v>
      </c>
      <c r="G203" s="401">
        <v>0</v>
      </c>
      <c r="H203" s="401"/>
      <c r="I203" s="140" t="s">
        <v>335</v>
      </c>
      <c r="J203" s="401">
        <v>431393790</v>
      </c>
      <c r="K203" s="401"/>
      <c r="L203" s="402" t="s">
        <v>424</v>
      </c>
      <c r="M203" s="402"/>
      <c r="N203" s="402"/>
      <c r="O203" s="402"/>
      <c r="P203" s="402"/>
      <c r="Q203" s="402"/>
      <c r="R203" s="140" t="s">
        <v>425</v>
      </c>
      <c r="S203" s="142"/>
    </row>
    <row r="204" spans="2:19" ht="31.5">
      <c r="B204" s="143">
        <v>44841</v>
      </c>
      <c r="C204" s="385" t="s">
        <v>334</v>
      </c>
      <c r="D204" s="385"/>
      <c r="E204" s="385"/>
      <c r="F204" s="157">
        <v>20000</v>
      </c>
      <c r="G204" s="386">
        <v>0</v>
      </c>
      <c r="H204" s="386"/>
      <c r="I204" s="156" t="s">
        <v>335</v>
      </c>
      <c r="J204" s="386">
        <v>431413790</v>
      </c>
      <c r="K204" s="386"/>
      <c r="L204" s="403" t="s">
        <v>426</v>
      </c>
      <c r="M204" s="403"/>
      <c r="N204" s="403"/>
      <c r="O204" s="403"/>
      <c r="P204" s="403"/>
      <c r="Q204" s="403"/>
      <c r="R204" s="156" t="s">
        <v>427</v>
      </c>
      <c r="S204" s="144"/>
    </row>
    <row r="205" spans="2:19" ht="31.5">
      <c r="B205" s="143">
        <v>44845</v>
      </c>
      <c r="C205" s="385" t="s">
        <v>334</v>
      </c>
      <c r="D205" s="385"/>
      <c r="E205" s="385"/>
      <c r="F205" s="157">
        <v>19180550</v>
      </c>
      <c r="G205" s="386">
        <v>0</v>
      </c>
      <c r="H205" s="386"/>
      <c r="I205" s="156" t="s">
        <v>335</v>
      </c>
      <c r="J205" s="386">
        <v>450594340</v>
      </c>
      <c r="K205" s="386"/>
      <c r="L205" s="403" t="s">
        <v>428</v>
      </c>
      <c r="M205" s="403"/>
      <c r="N205" s="403"/>
      <c r="O205" s="403"/>
      <c r="P205" s="403"/>
      <c r="Q205" s="403"/>
      <c r="R205" s="156" t="s">
        <v>429</v>
      </c>
      <c r="S205" s="144"/>
    </row>
    <row r="206" spans="2:19" ht="31.5">
      <c r="B206" s="143">
        <v>44845</v>
      </c>
      <c r="C206" s="433" t="s">
        <v>363</v>
      </c>
      <c r="D206" s="433"/>
      <c r="E206" s="433"/>
      <c r="F206" s="157">
        <v>350000</v>
      </c>
      <c r="G206" s="386">
        <v>0</v>
      </c>
      <c r="H206" s="386"/>
      <c r="I206" s="156" t="s">
        <v>335</v>
      </c>
      <c r="J206" s="386">
        <v>450944340</v>
      </c>
      <c r="K206" s="386"/>
      <c r="L206" s="403" t="s">
        <v>430</v>
      </c>
      <c r="M206" s="403"/>
      <c r="N206" s="403"/>
      <c r="O206" s="403"/>
      <c r="P206" s="403"/>
      <c r="Q206" s="403"/>
      <c r="R206" s="156" t="s">
        <v>431</v>
      </c>
      <c r="S206" s="144"/>
    </row>
    <row r="207" spans="2:19" ht="31.5">
      <c r="B207" s="145">
        <v>44852</v>
      </c>
      <c r="C207" s="390" t="s">
        <v>334</v>
      </c>
      <c r="D207" s="390"/>
      <c r="E207" s="390"/>
      <c r="F207" s="147">
        <v>35000</v>
      </c>
      <c r="G207" s="391">
        <v>0</v>
      </c>
      <c r="H207" s="391"/>
      <c r="I207" s="146" t="s">
        <v>335</v>
      </c>
      <c r="J207" s="391">
        <v>450979340</v>
      </c>
      <c r="K207" s="391"/>
      <c r="L207" s="404" t="s">
        <v>432</v>
      </c>
      <c r="M207" s="404"/>
      <c r="N207" s="404"/>
      <c r="O207" s="404"/>
      <c r="P207" s="404"/>
      <c r="Q207" s="404"/>
      <c r="R207" s="146" t="s">
        <v>433</v>
      </c>
      <c r="S207" s="148"/>
    </row>
    <row r="208" spans="2:19">
      <c r="B208" s="135"/>
      <c r="C208" s="387" t="s">
        <v>348</v>
      </c>
      <c r="D208" s="387"/>
      <c r="E208" s="387"/>
      <c r="F208" s="149">
        <v>19885550</v>
      </c>
      <c r="G208" s="388">
        <v>0</v>
      </c>
      <c r="H208" s="388"/>
      <c r="I208" s="136"/>
      <c r="J208" s="389"/>
      <c r="K208" s="389"/>
      <c r="L208" s="136"/>
      <c r="M208" s="387"/>
      <c r="N208" s="387"/>
      <c r="O208" s="136"/>
      <c r="P208" s="136"/>
      <c r="Q208" s="136"/>
      <c r="R208" s="136"/>
      <c r="S208" s="137"/>
    </row>
    <row r="209" spans="2:19">
      <c r="B209" s="135"/>
      <c r="C209" s="387" t="s">
        <v>434</v>
      </c>
      <c r="D209" s="387"/>
      <c r="E209" s="387"/>
      <c r="F209" s="149">
        <v>450979340</v>
      </c>
      <c r="G209" s="388">
        <v>0</v>
      </c>
      <c r="H209" s="388"/>
      <c r="I209" s="136"/>
      <c r="J209" s="388">
        <v>450979340</v>
      </c>
      <c r="K209" s="388"/>
      <c r="L209" s="136"/>
      <c r="M209" s="387"/>
      <c r="N209" s="387"/>
      <c r="O209" s="136"/>
      <c r="P209" s="136"/>
      <c r="Q209" s="136"/>
      <c r="R209" s="136"/>
      <c r="S209" s="137"/>
    </row>
  </sheetData>
  <mergeCells count="312">
    <mergeCell ref="H135:M135"/>
    <mergeCell ref="B136:C136"/>
    <mergeCell ref="E136:G136"/>
    <mergeCell ref="B137:C137"/>
    <mergeCell ref="E137:J137"/>
    <mergeCell ref="L138:Q138"/>
    <mergeCell ref="R138:R139"/>
    <mergeCell ref="S138:S139"/>
    <mergeCell ref="M139:N139"/>
    <mergeCell ref="C140:E140"/>
    <mergeCell ref="G140:H140"/>
    <mergeCell ref="J140:K140"/>
    <mergeCell ref="L140:Q140"/>
    <mergeCell ref="B138:B139"/>
    <mergeCell ref="C138:E139"/>
    <mergeCell ref="F138:F139"/>
    <mergeCell ref="G138:H139"/>
    <mergeCell ref="I138:I139"/>
    <mergeCell ref="J138:K139"/>
    <mergeCell ref="C143:E143"/>
    <mergeCell ref="G143:H143"/>
    <mergeCell ref="J143:K143"/>
    <mergeCell ref="L143:Q143"/>
    <mergeCell ref="C144:E144"/>
    <mergeCell ref="G144:H144"/>
    <mergeCell ref="J144:K144"/>
    <mergeCell ref="L144:Q144"/>
    <mergeCell ref="C141:E141"/>
    <mergeCell ref="G141:H141"/>
    <mergeCell ref="J141:K141"/>
    <mergeCell ref="L141:Q141"/>
    <mergeCell ref="C142:E142"/>
    <mergeCell ref="G142:H142"/>
    <mergeCell ref="J142:K142"/>
    <mergeCell ref="L142:Q142"/>
    <mergeCell ref="C147:E147"/>
    <mergeCell ref="G147:H147"/>
    <mergeCell ref="J147:K147"/>
    <mergeCell ref="L147:Q147"/>
    <mergeCell ref="C148:E148"/>
    <mergeCell ref="G148:H148"/>
    <mergeCell ref="J148:K148"/>
    <mergeCell ref="M148:N148"/>
    <mergeCell ref="C145:E145"/>
    <mergeCell ref="G145:H145"/>
    <mergeCell ref="J145:K145"/>
    <mergeCell ref="L145:Q145"/>
    <mergeCell ref="C146:E146"/>
    <mergeCell ref="G146:H146"/>
    <mergeCell ref="J146:K146"/>
    <mergeCell ref="M146:N146"/>
    <mergeCell ref="C151:E151"/>
    <mergeCell ref="G151:H151"/>
    <mergeCell ref="J151:K151"/>
    <mergeCell ref="L151:Q151"/>
    <mergeCell ref="C152:E152"/>
    <mergeCell ref="G152:H152"/>
    <mergeCell ref="J152:K152"/>
    <mergeCell ref="L152:Q152"/>
    <mergeCell ref="C149:E149"/>
    <mergeCell ref="G149:H149"/>
    <mergeCell ref="J149:K149"/>
    <mergeCell ref="L149:Q149"/>
    <mergeCell ref="C150:E150"/>
    <mergeCell ref="G150:H150"/>
    <mergeCell ref="J150:K150"/>
    <mergeCell ref="L150:Q150"/>
    <mergeCell ref="C155:E155"/>
    <mergeCell ref="G155:H155"/>
    <mergeCell ref="J155:K155"/>
    <mergeCell ref="L155:Q155"/>
    <mergeCell ref="C156:E156"/>
    <mergeCell ref="G156:H156"/>
    <mergeCell ref="J156:K156"/>
    <mergeCell ref="L156:Q156"/>
    <mergeCell ref="C153:E153"/>
    <mergeCell ref="G153:H153"/>
    <mergeCell ref="J153:K153"/>
    <mergeCell ref="M153:N153"/>
    <mergeCell ref="C154:E154"/>
    <mergeCell ref="G154:H154"/>
    <mergeCell ref="J154:K154"/>
    <mergeCell ref="L154:Q154"/>
    <mergeCell ref="L159:Q159"/>
    <mergeCell ref="C160:E160"/>
    <mergeCell ref="G160:H160"/>
    <mergeCell ref="J160:K160"/>
    <mergeCell ref="L160:Q160"/>
    <mergeCell ref="C157:E157"/>
    <mergeCell ref="G157:H157"/>
    <mergeCell ref="J157:K157"/>
    <mergeCell ref="L157:Q157"/>
    <mergeCell ref="C158:E158"/>
    <mergeCell ref="G158:H158"/>
    <mergeCell ref="J158:K158"/>
    <mergeCell ref="L158:Q158"/>
    <mergeCell ref="L163:Q163"/>
    <mergeCell ref="B165:C165"/>
    <mergeCell ref="E165:G165"/>
    <mergeCell ref="C161:E161"/>
    <mergeCell ref="G161:H161"/>
    <mergeCell ref="J161:K161"/>
    <mergeCell ref="M161:N161"/>
    <mergeCell ref="C162:E162"/>
    <mergeCell ref="G162:H162"/>
    <mergeCell ref="J162:K162"/>
    <mergeCell ref="L162:Q162"/>
    <mergeCell ref="L167:Q167"/>
    <mergeCell ref="R167:R168"/>
    <mergeCell ref="S167:S168"/>
    <mergeCell ref="M168:N168"/>
    <mergeCell ref="C169:E169"/>
    <mergeCell ref="G169:H169"/>
    <mergeCell ref="J169:K169"/>
    <mergeCell ref="L169:Q169"/>
    <mergeCell ref="B166:C166"/>
    <mergeCell ref="E166:J166"/>
    <mergeCell ref="B167:B168"/>
    <mergeCell ref="C167:E168"/>
    <mergeCell ref="F167:F168"/>
    <mergeCell ref="G167:H168"/>
    <mergeCell ref="I167:I168"/>
    <mergeCell ref="J167:K168"/>
    <mergeCell ref="M172:N172"/>
    <mergeCell ref="C173:E173"/>
    <mergeCell ref="G173:H173"/>
    <mergeCell ref="J173:K173"/>
    <mergeCell ref="L173:Q173"/>
    <mergeCell ref="C170:E170"/>
    <mergeCell ref="G170:H170"/>
    <mergeCell ref="J170:K170"/>
    <mergeCell ref="M170:N170"/>
    <mergeCell ref="C171:E171"/>
    <mergeCell ref="G171:H171"/>
    <mergeCell ref="J171:K171"/>
    <mergeCell ref="L171:Q171"/>
    <mergeCell ref="M176:N176"/>
    <mergeCell ref="C177:E177"/>
    <mergeCell ref="G177:H177"/>
    <mergeCell ref="J177:K177"/>
    <mergeCell ref="L177:Q177"/>
    <mergeCell ref="C174:E174"/>
    <mergeCell ref="G174:H174"/>
    <mergeCell ref="J174:K174"/>
    <mergeCell ref="L174:Q174"/>
    <mergeCell ref="C175:E175"/>
    <mergeCell ref="G175:H175"/>
    <mergeCell ref="J175:K175"/>
    <mergeCell ref="L175:Q175"/>
    <mergeCell ref="G181:H181"/>
    <mergeCell ref="J181:K181"/>
    <mergeCell ref="L181:Q181"/>
    <mergeCell ref="C178:E178"/>
    <mergeCell ref="G178:H178"/>
    <mergeCell ref="J178:K178"/>
    <mergeCell ref="L178:Q178"/>
    <mergeCell ref="C179:E179"/>
    <mergeCell ref="G179:H179"/>
    <mergeCell ref="J179:K179"/>
    <mergeCell ref="L179:Q179"/>
    <mergeCell ref="C204:E204"/>
    <mergeCell ref="G204:H204"/>
    <mergeCell ref="J204:K204"/>
    <mergeCell ref="L204:Q204"/>
    <mergeCell ref="C205:E205"/>
    <mergeCell ref="G205:H205"/>
    <mergeCell ref="J205:K205"/>
    <mergeCell ref="L185:Q185"/>
    <mergeCell ref="C182:E182"/>
    <mergeCell ref="G182:H182"/>
    <mergeCell ref="J182:K182"/>
    <mergeCell ref="L182:Q182"/>
    <mergeCell ref="C183:E183"/>
    <mergeCell ref="G183:H183"/>
    <mergeCell ref="J183:K183"/>
    <mergeCell ref="L183:Q183"/>
    <mergeCell ref="C208:E208"/>
    <mergeCell ref="G208:H208"/>
    <mergeCell ref="J208:K208"/>
    <mergeCell ref="M208:N208"/>
    <mergeCell ref="C209:E209"/>
    <mergeCell ref="G209:H209"/>
    <mergeCell ref="J209:K209"/>
    <mergeCell ref="M209:N209"/>
    <mergeCell ref="C206:E206"/>
    <mergeCell ref="G206:H206"/>
    <mergeCell ref="J206:K206"/>
    <mergeCell ref="L206:Q206"/>
    <mergeCell ref="C207:E207"/>
    <mergeCell ref="G207:H207"/>
    <mergeCell ref="J207:K207"/>
    <mergeCell ref="L207:Q207"/>
    <mergeCell ref="B123:B126"/>
    <mergeCell ref="C123:C125"/>
    <mergeCell ref="F126:G126"/>
    <mergeCell ref="B129:B131"/>
    <mergeCell ref="C132:D132"/>
    <mergeCell ref="F132:G132"/>
    <mergeCell ref="L205:Q205"/>
    <mergeCell ref="C202:E202"/>
    <mergeCell ref="G202:H202"/>
    <mergeCell ref="J202:K202"/>
    <mergeCell ref="M202:N202"/>
    <mergeCell ref="C203:E203"/>
    <mergeCell ref="G203:H203"/>
    <mergeCell ref="J203:K203"/>
    <mergeCell ref="L203:Q203"/>
    <mergeCell ref="C200:E200"/>
    <mergeCell ref="G200:H200"/>
    <mergeCell ref="J200:K200"/>
    <mergeCell ref="L200:Q200"/>
    <mergeCell ref="C201:E201"/>
    <mergeCell ref="G201:H201"/>
    <mergeCell ref="J201:K201"/>
    <mergeCell ref="L201:Q201"/>
    <mergeCell ref="B134:G134"/>
    <mergeCell ref="B111:B114"/>
    <mergeCell ref="C111:C114"/>
    <mergeCell ref="C115:D115"/>
    <mergeCell ref="C118:D118"/>
    <mergeCell ref="H118:I118"/>
    <mergeCell ref="L197:Q197"/>
    <mergeCell ref="R197:R198"/>
    <mergeCell ref="S197:S198"/>
    <mergeCell ref="M198:N198"/>
    <mergeCell ref="B195:C195"/>
    <mergeCell ref="E195:G195"/>
    <mergeCell ref="B196:C196"/>
    <mergeCell ref="E196:J196"/>
    <mergeCell ref="B197:B198"/>
    <mergeCell ref="C197:E198"/>
    <mergeCell ref="F197:F198"/>
    <mergeCell ref="G197:H198"/>
    <mergeCell ref="I197:I198"/>
    <mergeCell ref="J197:K198"/>
    <mergeCell ref="C192:E192"/>
    <mergeCell ref="G192:H192"/>
    <mergeCell ref="J192:K192"/>
    <mergeCell ref="L192:Q192"/>
    <mergeCell ref="F121:G121"/>
    <mergeCell ref="C99:C109"/>
    <mergeCell ref="H99:H109"/>
    <mergeCell ref="I99:I109"/>
    <mergeCell ref="C199:E199"/>
    <mergeCell ref="G199:H199"/>
    <mergeCell ref="J199:K199"/>
    <mergeCell ref="L199:Q199"/>
    <mergeCell ref="C193:E193"/>
    <mergeCell ref="G193:H193"/>
    <mergeCell ref="J193:K193"/>
    <mergeCell ref="L193:Q193"/>
    <mergeCell ref="C190:E190"/>
    <mergeCell ref="G190:H190"/>
    <mergeCell ref="J190:K190"/>
    <mergeCell ref="L190:Q190"/>
    <mergeCell ref="C191:E191"/>
    <mergeCell ref="G191:H191"/>
    <mergeCell ref="J191:K191"/>
    <mergeCell ref="L191:Q191"/>
    <mergeCell ref="C188:E188"/>
    <mergeCell ref="G188:H188"/>
    <mergeCell ref="C110:D110"/>
    <mergeCell ref="L180:Q180"/>
    <mergeCell ref="C181:E181"/>
    <mergeCell ref="B4:D4"/>
    <mergeCell ref="B3:G3"/>
    <mergeCell ref="B94:G94"/>
    <mergeCell ref="J188:K188"/>
    <mergeCell ref="M188:N188"/>
    <mergeCell ref="C189:E189"/>
    <mergeCell ref="G189:H189"/>
    <mergeCell ref="J189:K189"/>
    <mergeCell ref="L189:Q189"/>
    <mergeCell ref="C186:E186"/>
    <mergeCell ref="G186:H186"/>
    <mergeCell ref="J186:K186"/>
    <mergeCell ref="L186:Q186"/>
    <mergeCell ref="C187:E187"/>
    <mergeCell ref="G187:H187"/>
    <mergeCell ref="J187:K187"/>
    <mergeCell ref="L187:Q187"/>
    <mergeCell ref="C184:E184"/>
    <mergeCell ref="G184:H184"/>
    <mergeCell ref="J184:K184"/>
    <mergeCell ref="L184:Q184"/>
    <mergeCell ref="B92:C92"/>
    <mergeCell ref="E4:I4"/>
    <mergeCell ref="B87:C87"/>
    <mergeCell ref="B88:C88"/>
    <mergeCell ref="B89:C89"/>
    <mergeCell ref="B90:C90"/>
    <mergeCell ref="B91:C91"/>
    <mergeCell ref="C185:E185"/>
    <mergeCell ref="G185:H185"/>
    <mergeCell ref="J185:K185"/>
    <mergeCell ref="C180:E180"/>
    <mergeCell ref="G180:H180"/>
    <mergeCell ref="J180:K180"/>
    <mergeCell ref="C176:E176"/>
    <mergeCell ref="G176:H176"/>
    <mergeCell ref="J176:K176"/>
    <mergeCell ref="C172:E172"/>
    <mergeCell ref="G172:H172"/>
    <mergeCell ref="J172:K172"/>
    <mergeCell ref="C163:E163"/>
    <mergeCell ref="G163:H163"/>
    <mergeCell ref="J163:K163"/>
    <mergeCell ref="C159:E159"/>
    <mergeCell ref="G159:H159"/>
    <mergeCell ref="J159:K159"/>
    <mergeCell ref="H97:I97"/>
    <mergeCell ref="B99:B109"/>
  </mergeCells>
  <phoneticPr fontId="8" type="noConversion"/>
  <conditionalFormatting sqref="L140:Q209">
    <cfRule type="containsText" dxfId="0" priority="1" operator="containsText" text="재산세">
      <formula>NOT(ISERROR(SEARCH("재산세",L140)))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0"/>
  <sheetViews>
    <sheetView zoomScale="70" zoomScaleNormal="70" workbookViewId="0">
      <selection activeCell="F28" sqref="F28"/>
    </sheetView>
  </sheetViews>
  <sheetFormatPr defaultRowHeight="16.5"/>
  <cols>
    <col min="1" max="1" width="8" customWidth="1"/>
    <col min="2" max="2" width="57.625" customWidth="1"/>
    <col min="3" max="3" width="33" customWidth="1"/>
    <col min="4" max="4" width="34.375" customWidth="1"/>
    <col min="5" max="5" width="33.625" customWidth="1"/>
    <col min="6" max="6" width="33" customWidth="1"/>
    <col min="7" max="7" width="32.75" customWidth="1"/>
    <col min="8" max="8" width="33" customWidth="1"/>
    <col min="9" max="9" width="4.875" customWidth="1"/>
    <col min="10" max="10" width="33.5" customWidth="1"/>
    <col min="11" max="11" width="6.125" customWidth="1"/>
    <col min="12" max="15" width="30" customWidth="1"/>
    <col min="257" max="257" width="8" customWidth="1"/>
    <col min="258" max="258" width="57.625" customWidth="1"/>
    <col min="259" max="259" width="33" customWidth="1"/>
    <col min="260" max="260" width="34.375" customWidth="1"/>
    <col min="261" max="261" width="33.625" customWidth="1"/>
    <col min="262" max="262" width="33" customWidth="1"/>
    <col min="263" max="263" width="32.75" customWidth="1"/>
    <col min="264" max="264" width="33" customWidth="1"/>
    <col min="265" max="265" width="4.875" customWidth="1"/>
    <col min="266" max="266" width="33.5" customWidth="1"/>
    <col min="267" max="267" width="6.125" customWidth="1"/>
    <col min="268" max="271" width="30" customWidth="1"/>
    <col min="513" max="513" width="8" customWidth="1"/>
    <col min="514" max="514" width="57.625" customWidth="1"/>
    <col min="515" max="515" width="33" customWidth="1"/>
    <col min="516" max="516" width="34.375" customWidth="1"/>
    <col min="517" max="517" width="33.625" customWidth="1"/>
    <col min="518" max="518" width="33" customWidth="1"/>
    <col min="519" max="519" width="32.75" customWidth="1"/>
    <col min="520" max="520" width="33" customWidth="1"/>
    <col min="521" max="521" width="4.875" customWidth="1"/>
    <col min="522" max="522" width="33.5" customWidth="1"/>
    <col min="523" max="523" width="6.125" customWidth="1"/>
    <col min="524" max="527" width="30" customWidth="1"/>
    <col min="769" max="769" width="8" customWidth="1"/>
    <col min="770" max="770" width="57.625" customWidth="1"/>
    <col min="771" max="771" width="33" customWidth="1"/>
    <col min="772" max="772" width="34.375" customWidth="1"/>
    <col min="773" max="773" width="33.625" customWidth="1"/>
    <col min="774" max="774" width="33" customWidth="1"/>
    <col min="775" max="775" width="32.75" customWidth="1"/>
    <col min="776" max="776" width="33" customWidth="1"/>
    <col min="777" max="777" width="4.875" customWidth="1"/>
    <col min="778" max="778" width="33.5" customWidth="1"/>
    <col min="779" max="779" width="6.125" customWidth="1"/>
    <col min="780" max="783" width="30" customWidth="1"/>
    <col min="1025" max="1025" width="8" customWidth="1"/>
    <col min="1026" max="1026" width="57.625" customWidth="1"/>
    <col min="1027" max="1027" width="33" customWidth="1"/>
    <col min="1028" max="1028" width="34.375" customWidth="1"/>
    <col min="1029" max="1029" width="33.625" customWidth="1"/>
    <col min="1030" max="1030" width="33" customWidth="1"/>
    <col min="1031" max="1031" width="32.75" customWidth="1"/>
    <col min="1032" max="1032" width="33" customWidth="1"/>
    <col min="1033" max="1033" width="4.875" customWidth="1"/>
    <col min="1034" max="1034" width="33.5" customWidth="1"/>
    <col min="1035" max="1035" width="6.125" customWidth="1"/>
    <col min="1036" max="1039" width="30" customWidth="1"/>
    <col min="1281" max="1281" width="8" customWidth="1"/>
    <col min="1282" max="1282" width="57.625" customWidth="1"/>
    <col min="1283" max="1283" width="33" customWidth="1"/>
    <col min="1284" max="1284" width="34.375" customWidth="1"/>
    <col min="1285" max="1285" width="33.625" customWidth="1"/>
    <col min="1286" max="1286" width="33" customWidth="1"/>
    <col min="1287" max="1287" width="32.75" customWidth="1"/>
    <col min="1288" max="1288" width="33" customWidth="1"/>
    <col min="1289" max="1289" width="4.875" customWidth="1"/>
    <col min="1290" max="1290" width="33.5" customWidth="1"/>
    <col min="1291" max="1291" width="6.125" customWidth="1"/>
    <col min="1292" max="1295" width="30" customWidth="1"/>
    <col min="1537" max="1537" width="8" customWidth="1"/>
    <col min="1538" max="1538" width="57.625" customWidth="1"/>
    <col min="1539" max="1539" width="33" customWidth="1"/>
    <col min="1540" max="1540" width="34.375" customWidth="1"/>
    <col min="1541" max="1541" width="33.625" customWidth="1"/>
    <col min="1542" max="1542" width="33" customWidth="1"/>
    <col min="1543" max="1543" width="32.75" customWidth="1"/>
    <col min="1544" max="1544" width="33" customWidth="1"/>
    <col min="1545" max="1545" width="4.875" customWidth="1"/>
    <col min="1546" max="1546" width="33.5" customWidth="1"/>
    <col min="1547" max="1547" width="6.125" customWidth="1"/>
    <col min="1548" max="1551" width="30" customWidth="1"/>
    <col min="1793" max="1793" width="8" customWidth="1"/>
    <col min="1794" max="1794" width="57.625" customWidth="1"/>
    <col min="1795" max="1795" width="33" customWidth="1"/>
    <col min="1796" max="1796" width="34.375" customWidth="1"/>
    <col min="1797" max="1797" width="33.625" customWidth="1"/>
    <col min="1798" max="1798" width="33" customWidth="1"/>
    <col min="1799" max="1799" width="32.75" customWidth="1"/>
    <col min="1800" max="1800" width="33" customWidth="1"/>
    <col min="1801" max="1801" width="4.875" customWidth="1"/>
    <col min="1802" max="1802" width="33.5" customWidth="1"/>
    <col min="1803" max="1803" width="6.125" customWidth="1"/>
    <col min="1804" max="1807" width="30" customWidth="1"/>
    <col min="2049" max="2049" width="8" customWidth="1"/>
    <col min="2050" max="2050" width="57.625" customWidth="1"/>
    <col min="2051" max="2051" width="33" customWidth="1"/>
    <col min="2052" max="2052" width="34.375" customWidth="1"/>
    <col min="2053" max="2053" width="33.625" customWidth="1"/>
    <col min="2054" max="2054" width="33" customWidth="1"/>
    <col min="2055" max="2055" width="32.75" customWidth="1"/>
    <col min="2056" max="2056" width="33" customWidth="1"/>
    <col min="2057" max="2057" width="4.875" customWidth="1"/>
    <col min="2058" max="2058" width="33.5" customWidth="1"/>
    <col min="2059" max="2059" width="6.125" customWidth="1"/>
    <col min="2060" max="2063" width="30" customWidth="1"/>
    <col min="2305" max="2305" width="8" customWidth="1"/>
    <col min="2306" max="2306" width="57.625" customWidth="1"/>
    <col min="2307" max="2307" width="33" customWidth="1"/>
    <col min="2308" max="2308" width="34.375" customWidth="1"/>
    <col min="2309" max="2309" width="33.625" customWidth="1"/>
    <col min="2310" max="2310" width="33" customWidth="1"/>
    <col min="2311" max="2311" width="32.75" customWidth="1"/>
    <col min="2312" max="2312" width="33" customWidth="1"/>
    <col min="2313" max="2313" width="4.875" customWidth="1"/>
    <col min="2314" max="2314" width="33.5" customWidth="1"/>
    <col min="2315" max="2315" width="6.125" customWidth="1"/>
    <col min="2316" max="2319" width="30" customWidth="1"/>
    <col min="2561" max="2561" width="8" customWidth="1"/>
    <col min="2562" max="2562" width="57.625" customWidth="1"/>
    <col min="2563" max="2563" width="33" customWidth="1"/>
    <col min="2564" max="2564" width="34.375" customWidth="1"/>
    <col min="2565" max="2565" width="33.625" customWidth="1"/>
    <col min="2566" max="2566" width="33" customWidth="1"/>
    <col min="2567" max="2567" width="32.75" customWidth="1"/>
    <col min="2568" max="2568" width="33" customWidth="1"/>
    <col min="2569" max="2569" width="4.875" customWidth="1"/>
    <col min="2570" max="2570" width="33.5" customWidth="1"/>
    <col min="2571" max="2571" width="6.125" customWidth="1"/>
    <col min="2572" max="2575" width="30" customWidth="1"/>
    <col min="2817" max="2817" width="8" customWidth="1"/>
    <col min="2818" max="2818" width="57.625" customWidth="1"/>
    <col min="2819" max="2819" width="33" customWidth="1"/>
    <col min="2820" max="2820" width="34.375" customWidth="1"/>
    <col min="2821" max="2821" width="33.625" customWidth="1"/>
    <col min="2822" max="2822" width="33" customWidth="1"/>
    <col min="2823" max="2823" width="32.75" customWidth="1"/>
    <col min="2824" max="2824" width="33" customWidth="1"/>
    <col min="2825" max="2825" width="4.875" customWidth="1"/>
    <col min="2826" max="2826" width="33.5" customWidth="1"/>
    <col min="2827" max="2827" width="6.125" customWidth="1"/>
    <col min="2828" max="2831" width="30" customWidth="1"/>
    <col min="3073" max="3073" width="8" customWidth="1"/>
    <col min="3074" max="3074" width="57.625" customWidth="1"/>
    <col min="3075" max="3075" width="33" customWidth="1"/>
    <col min="3076" max="3076" width="34.375" customWidth="1"/>
    <col min="3077" max="3077" width="33.625" customWidth="1"/>
    <col min="3078" max="3078" width="33" customWidth="1"/>
    <col min="3079" max="3079" width="32.75" customWidth="1"/>
    <col min="3080" max="3080" width="33" customWidth="1"/>
    <col min="3081" max="3081" width="4.875" customWidth="1"/>
    <col min="3082" max="3082" width="33.5" customWidth="1"/>
    <col min="3083" max="3083" width="6.125" customWidth="1"/>
    <col min="3084" max="3087" width="30" customWidth="1"/>
    <col min="3329" max="3329" width="8" customWidth="1"/>
    <col min="3330" max="3330" width="57.625" customWidth="1"/>
    <col min="3331" max="3331" width="33" customWidth="1"/>
    <col min="3332" max="3332" width="34.375" customWidth="1"/>
    <col min="3333" max="3333" width="33.625" customWidth="1"/>
    <col min="3334" max="3334" width="33" customWidth="1"/>
    <col min="3335" max="3335" width="32.75" customWidth="1"/>
    <col min="3336" max="3336" width="33" customWidth="1"/>
    <col min="3337" max="3337" width="4.875" customWidth="1"/>
    <col min="3338" max="3338" width="33.5" customWidth="1"/>
    <col min="3339" max="3339" width="6.125" customWidth="1"/>
    <col min="3340" max="3343" width="30" customWidth="1"/>
    <col min="3585" max="3585" width="8" customWidth="1"/>
    <col min="3586" max="3586" width="57.625" customWidth="1"/>
    <col min="3587" max="3587" width="33" customWidth="1"/>
    <col min="3588" max="3588" width="34.375" customWidth="1"/>
    <col min="3589" max="3589" width="33.625" customWidth="1"/>
    <col min="3590" max="3590" width="33" customWidth="1"/>
    <col min="3591" max="3591" width="32.75" customWidth="1"/>
    <col min="3592" max="3592" width="33" customWidth="1"/>
    <col min="3593" max="3593" width="4.875" customWidth="1"/>
    <col min="3594" max="3594" width="33.5" customWidth="1"/>
    <col min="3595" max="3595" width="6.125" customWidth="1"/>
    <col min="3596" max="3599" width="30" customWidth="1"/>
    <col min="3841" max="3841" width="8" customWidth="1"/>
    <col min="3842" max="3842" width="57.625" customWidth="1"/>
    <col min="3843" max="3843" width="33" customWidth="1"/>
    <col min="3844" max="3844" width="34.375" customWidth="1"/>
    <col min="3845" max="3845" width="33.625" customWidth="1"/>
    <col min="3846" max="3846" width="33" customWidth="1"/>
    <col min="3847" max="3847" width="32.75" customWidth="1"/>
    <col min="3848" max="3848" width="33" customWidth="1"/>
    <col min="3849" max="3849" width="4.875" customWidth="1"/>
    <col min="3850" max="3850" width="33.5" customWidth="1"/>
    <col min="3851" max="3851" width="6.125" customWidth="1"/>
    <col min="3852" max="3855" width="30" customWidth="1"/>
    <col min="4097" max="4097" width="8" customWidth="1"/>
    <col min="4098" max="4098" width="57.625" customWidth="1"/>
    <col min="4099" max="4099" width="33" customWidth="1"/>
    <col min="4100" max="4100" width="34.375" customWidth="1"/>
    <col min="4101" max="4101" width="33.625" customWidth="1"/>
    <col min="4102" max="4102" width="33" customWidth="1"/>
    <col min="4103" max="4103" width="32.75" customWidth="1"/>
    <col min="4104" max="4104" width="33" customWidth="1"/>
    <col min="4105" max="4105" width="4.875" customWidth="1"/>
    <col min="4106" max="4106" width="33.5" customWidth="1"/>
    <col min="4107" max="4107" width="6.125" customWidth="1"/>
    <col min="4108" max="4111" width="30" customWidth="1"/>
    <col min="4353" max="4353" width="8" customWidth="1"/>
    <col min="4354" max="4354" width="57.625" customWidth="1"/>
    <col min="4355" max="4355" width="33" customWidth="1"/>
    <col min="4356" max="4356" width="34.375" customWidth="1"/>
    <col min="4357" max="4357" width="33.625" customWidth="1"/>
    <col min="4358" max="4358" width="33" customWidth="1"/>
    <col min="4359" max="4359" width="32.75" customWidth="1"/>
    <col min="4360" max="4360" width="33" customWidth="1"/>
    <col min="4361" max="4361" width="4.875" customWidth="1"/>
    <col min="4362" max="4362" width="33.5" customWidth="1"/>
    <col min="4363" max="4363" width="6.125" customWidth="1"/>
    <col min="4364" max="4367" width="30" customWidth="1"/>
    <col min="4609" max="4609" width="8" customWidth="1"/>
    <col min="4610" max="4610" width="57.625" customWidth="1"/>
    <col min="4611" max="4611" width="33" customWidth="1"/>
    <col min="4612" max="4612" width="34.375" customWidth="1"/>
    <col min="4613" max="4613" width="33.625" customWidth="1"/>
    <col min="4614" max="4614" width="33" customWidth="1"/>
    <col min="4615" max="4615" width="32.75" customWidth="1"/>
    <col min="4616" max="4616" width="33" customWidth="1"/>
    <col min="4617" max="4617" width="4.875" customWidth="1"/>
    <col min="4618" max="4618" width="33.5" customWidth="1"/>
    <col min="4619" max="4619" width="6.125" customWidth="1"/>
    <col min="4620" max="4623" width="30" customWidth="1"/>
    <col min="4865" max="4865" width="8" customWidth="1"/>
    <col min="4866" max="4866" width="57.625" customWidth="1"/>
    <col min="4867" max="4867" width="33" customWidth="1"/>
    <col min="4868" max="4868" width="34.375" customWidth="1"/>
    <col min="4869" max="4869" width="33.625" customWidth="1"/>
    <col min="4870" max="4870" width="33" customWidth="1"/>
    <col min="4871" max="4871" width="32.75" customWidth="1"/>
    <col min="4872" max="4872" width="33" customWidth="1"/>
    <col min="4873" max="4873" width="4.875" customWidth="1"/>
    <col min="4874" max="4874" width="33.5" customWidth="1"/>
    <col min="4875" max="4875" width="6.125" customWidth="1"/>
    <col min="4876" max="4879" width="30" customWidth="1"/>
    <col min="5121" max="5121" width="8" customWidth="1"/>
    <col min="5122" max="5122" width="57.625" customWidth="1"/>
    <col min="5123" max="5123" width="33" customWidth="1"/>
    <col min="5124" max="5124" width="34.375" customWidth="1"/>
    <col min="5125" max="5125" width="33.625" customWidth="1"/>
    <col min="5126" max="5126" width="33" customWidth="1"/>
    <col min="5127" max="5127" width="32.75" customWidth="1"/>
    <col min="5128" max="5128" width="33" customWidth="1"/>
    <col min="5129" max="5129" width="4.875" customWidth="1"/>
    <col min="5130" max="5130" width="33.5" customWidth="1"/>
    <col min="5131" max="5131" width="6.125" customWidth="1"/>
    <col min="5132" max="5135" width="30" customWidth="1"/>
    <col min="5377" max="5377" width="8" customWidth="1"/>
    <col min="5378" max="5378" width="57.625" customWidth="1"/>
    <col min="5379" max="5379" width="33" customWidth="1"/>
    <col min="5380" max="5380" width="34.375" customWidth="1"/>
    <col min="5381" max="5381" width="33.625" customWidth="1"/>
    <col min="5382" max="5382" width="33" customWidth="1"/>
    <col min="5383" max="5383" width="32.75" customWidth="1"/>
    <col min="5384" max="5384" width="33" customWidth="1"/>
    <col min="5385" max="5385" width="4.875" customWidth="1"/>
    <col min="5386" max="5386" width="33.5" customWidth="1"/>
    <col min="5387" max="5387" width="6.125" customWidth="1"/>
    <col min="5388" max="5391" width="30" customWidth="1"/>
    <col min="5633" max="5633" width="8" customWidth="1"/>
    <col min="5634" max="5634" width="57.625" customWidth="1"/>
    <col min="5635" max="5635" width="33" customWidth="1"/>
    <col min="5636" max="5636" width="34.375" customWidth="1"/>
    <col min="5637" max="5637" width="33.625" customWidth="1"/>
    <col min="5638" max="5638" width="33" customWidth="1"/>
    <col min="5639" max="5639" width="32.75" customWidth="1"/>
    <col min="5640" max="5640" width="33" customWidth="1"/>
    <col min="5641" max="5641" width="4.875" customWidth="1"/>
    <col min="5642" max="5642" width="33.5" customWidth="1"/>
    <col min="5643" max="5643" width="6.125" customWidth="1"/>
    <col min="5644" max="5647" width="30" customWidth="1"/>
    <col min="5889" max="5889" width="8" customWidth="1"/>
    <col min="5890" max="5890" width="57.625" customWidth="1"/>
    <col min="5891" max="5891" width="33" customWidth="1"/>
    <col min="5892" max="5892" width="34.375" customWidth="1"/>
    <col min="5893" max="5893" width="33.625" customWidth="1"/>
    <col min="5894" max="5894" width="33" customWidth="1"/>
    <col min="5895" max="5895" width="32.75" customWidth="1"/>
    <col min="5896" max="5896" width="33" customWidth="1"/>
    <col min="5897" max="5897" width="4.875" customWidth="1"/>
    <col min="5898" max="5898" width="33.5" customWidth="1"/>
    <col min="5899" max="5899" width="6.125" customWidth="1"/>
    <col min="5900" max="5903" width="30" customWidth="1"/>
    <col min="6145" max="6145" width="8" customWidth="1"/>
    <col min="6146" max="6146" width="57.625" customWidth="1"/>
    <col min="6147" max="6147" width="33" customWidth="1"/>
    <col min="6148" max="6148" width="34.375" customWidth="1"/>
    <col min="6149" max="6149" width="33.625" customWidth="1"/>
    <col min="6150" max="6150" width="33" customWidth="1"/>
    <col min="6151" max="6151" width="32.75" customWidth="1"/>
    <col min="6152" max="6152" width="33" customWidth="1"/>
    <col min="6153" max="6153" width="4.875" customWidth="1"/>
    <col min="6154" max="6154" width="33.5" customWidth="1"/>
    <col min="6155" max="6155" width="6.125" customWidth="1"/>
    <col min="6156" max="6159" width="30" customWidth="1"/>
    <col min="6401" max="6401" width="8" customWidth="1"/>
    <col min="6402" max="6402" width="57.625" customWidth="1"/>
    <col min="6403" max="6403" width="33" customWidth="1"/>
    <col min="6404" max="6404" width="34.375" customWidth="1"/>
    <col min="6405" max="6405" width="33.625" customWidth="1"/>
    <col min="6406" max="6406" width="33" customWidth="1"/>
    <col min="6407" max="6407" width="32.75" customWidth="1"/>
    <col min="6408" max="6408" width="33" customWidth="1"/>
    <col min="6409" max="6409" width="4.875" customWidth="1"/>
    <col min="6410" max="6410" width="33.5" customWidth="1"/>
    <col min="6411" max="6411" width="6.125" customWidth="1"/>
    <col min="6412" max="6415" width="30" customWidth="1"/>
    <col min="6657" max="6657" width="8" customWidth="1"/>
    <col min="6658" max="6658" width="57.625" customWidth="1"/>
    <col min="6659" max="6659" width="33" customWidth="1"/>
    <col min="6660" max="6660" width="34.375" customWidth="1"/>
    <col min="6661" max="6661" width="33.625" customWidth="1"/>
    <col min="6662" max="6662" width="33" customWidth="1"/>
    <col min="6663" max="6663" width="32.75" customWidth="1"/>
    <col min="6664" max="6664" width="33" customWidth="1"/>
    <col min="6665" max="6665" width="4.875" customWidth="1"/>
    <col min="6666" max="6666" width="33.5" customWidth="1"/>
    <col min="6667" max="6667" width="6.125" customWidth="1"/>
    <col min="6668" max="6671" width="30" customWidth="1"/>
    <col min="6913" max="6913" width="8" customWidth="1"/>
    <col min="6914" max="6914" width="57.625" customWidth="1"/>
    <col min="6915" max="6915" width="33" customWidth="1"/>
    <col min="6916" max="6916" width="34.375" customWidth="1"/>
    <col min="6917" max="6917" width="33.625" customWidth="1"/>
    <col min="6918" max="6918" width="33" customWidth="1"/>
    <col min="6919" max="6919" width="32.75" customWidth="1"/>
    <col min="6920" max="6920" width="33" customWidth="1"/>
    <col min="6921" max="6921" width="4.875" customWidth="1"/>
    <col min="6922" max="6922" width="33.5" customWidth="1"/>
    <col min="6923" max="6923" width="6.125" customWidth="1"/>
    <col min="6924" max="6927" width="30" customWidth="1"/>
    <col min="7169" max="7169" width="8" customWidth="1"/>
    <col min="7170" max="7170" width="57.625" customWidth="1"/>
    <col min="7171" max="7171" width="33" customWidth="1"/>
    <col min="7172" max="7172" width="34.375" customWidth="1"/>
    <col min="7173" max="7173" width="33.625" customWidth="1"/>
    <col min="7174" max="7174" width="33" customWidth="1"/>
    <col min="7175" max="7175" width="32.75" customWidth="1"/>
    <col min="7176" max="7176" width="33" customWidth="1"/>
    <col min="7177" max="7177" width="4.875" customWidth="1"/>
    <col min="7178" max="7178" width="33.5" customWidth="1"/>
    <col min="7179" max="7179" width="6.125" customWidth="1"/>
    <col min="7180" max="7183" width="30" customWidth="1"/>
    <col min="7425" max="7425" width="8" customWidth="1"/>
    <col min="7426" max="7426" width="57.625" customWidth="1"/>
    <col min="7427" max="7427" width="33" customWidth="1"/>
    <col min="7428" max="7428" width="34.375" customWidth="1"/>
    <col min="7429" max="7429" width="33.625" customWidth="1"/>
    <col min="7430" max="7430" width="33" customWidth="1"/>
    <col min="7431" max="7431" width="32.75" customWidth="1"/>
    <col min="7432" max="7432" width="33" customWidth="1"/>
    <col min="7433" max="7433" width="4.875" customWidth="1"/>
    <col min="7434" max="7434" width="33.5" customWidth="1"/>
    <col min="7435" max="7435" width="6.125" customWidth="1"/>
    <col min="7436" max="7439" width="30" customWidth="1"/>
    <col min="7681" max="7681" width="8" customWidth="1"/>
    <col min="7682" max="7682" width="57.625" customWidth="1"/>
    <col min="7683" max="7683" width="33" customWidth="1"/>
    <col min="7684" max="7684" width="34.375" customWidth="1"/>
    <col min="7685" max="7685" width="33.625" customWidth="1"/>
    <col min="7686" max="7686" width="33" customWidth="1"/>
    <col min="7687" max="7687" width="32.75" customWidth="1"/>
    <col min="7688" max="7688" width="33" customWidth="1"/>
    <col min="7689" max="7689" width="4.875" customWidth="1"/>
    <col min="7690" max="7690" width="33.5" customWidth="1"/>
    <col min="7691" max="7691" width="6.125" customWidth="1"/>
    <col min="7692" max="7695" width="30" customWidth="1"/>
    <col min="7937" max="7937" width="8" customWidth="1"/>
    <col min="7938" max="7938" width="57.625" customWidth="1"/>
    <col min="7939" max="7939" width="33" customWidth="1"/>
    <col min="7940" max="7940" width="34.375" customWidth="1"/>
    <col min="7941" max="7941" width="33.625" customWidth="1"/>
    <col min="7942" max="7942" width="33" customWidth="1"/>
    <col min="7943" max="7943" width="32.75" customWidth="1"/>
    <col min="7944" max="7944" width="33" customWidth="1"/>
    <col min="7945" max="7945" width="4.875" customWidth="1"/>
    <col min="7946" max="7946" width="33.5" customWidth="1"/>
    <col min="7947" max="7947" width="6.125" customWidth="1"/>
    <col min="7948" max="7951" width="30" customWidth="1"/>
    <col min="8193" max="8193" width="8" customWidth="1"/>
    <col min="8194" max="8194" width="57.625" customWidth="1"/>
    <col min="8195" max="8195" width="33" customWidth="1"/>
    <col min="8196" max="8196" width="34.375" customWidth="1"/>
    <col min="8197" max="8197" width="33.625" customWidth="1"/>
    <col min="8198" max="8198" width="33" customWidth="1"/>
    <col min="8199" max="8199" width="32.75" customWidth="1"/>
    <col min="8200" max="8200" width="33" customWidth="1"/>
    <col min="8201" max="8201" width="4.875" customWidth="1"/>
    <col min="8202" max="8202" width="33.5" customWidth="1"/>
    <col min="8203" max="8203" width="6.125" customWidth="1"/>
    <col min="8204" max="8207" width="30" customWidth="1"/>
    <col min="8449" max="8449" width="8" customWidth="1"/>
    <col min="8450" max="8450" width="57.625" customWidth="1"/>
    <col min="8451" max="8451" width="33" customWidth="1"/>
    <col min="8452" max="8452" width="34.375" customWidth="1"/>
    <col min="8453" max="8453" width="33.625" customWidth="1"/>
    <col min="8454" max="8454" width="33" customWidth="1"/>
    <col min="8455" max="8455" width="32.75" customWidth="1"/>
    <col min="8456" max="8456" width="33" customWidth="1"/>
    <col min="8457" max="8457" width="4.875" customWidth="1"/>
    <col min="8458" max="8458" width="33.5" customWidth="1"/>
    <col min="8459" max="8459" width="6.125" customWidth="1"/>
    <col min="8460" max="8463" width="30" customWidth="1"/>
    <col min="8705" max="8705" width="8" customWidth="1"/>
    <col min="8706" max="8706" width="57.625" customWidth="1"/>
    <col min="8707" max="8707" width="33" customWidth="1"/>
    <col min="8708" max="8708" width="34.375" customWidth="1"/>
    <col min="8709" max="8709" width="33.625" customWidth="1"/>
    <col min="8710" max="8710" width="33" customWidth="1"/>
    <col min="8711" max="8711" width="32.75" customWidth="1"/>
    <col min="8712" max="8712" width="33" customWidth="1"/>
    <col min="8713" max="8713" width="4.875" customWidth="1"/>
    <col min="8714" max="8714" width="33.5" customWidth="1"/>
    <col min="8715" max="8715" width="6.125" customWidth="1"/>
    <col min="8716" max="8719" width="30" customWidth="1"/>
    <col min="8961" max="8961" width="8" customWidth="1"/>
    <col min="8962" max="8962" width="57.625" customWidth="1"/>
    <col min="8963" max="8963" width="33" customWidth="1"/>
    <col min="8964" max="8964" width="34.375" customWidth="1"/>
    <col min="8965" max="8965" width="33.625" customWidth="1"/>
    <col min="8966" max="8966" width="33" customWidth="1"/>
    <col min="8967" max="8967" width="32.75" customWidth="1"/>
    <col min="8968" max="8968" width="33" customWidth="1"/>
    <col min="8969" max="8969" width="4.875" customWidth="1"/>
    <col min="8970" max="8970" width="33.5" customWidth="1"/>
    <col min="8971" max="8971" width="6.125" customWidth="1"/>
    <col min="8972" max="8975" width="30" customWidth="1"/>
    <col min="9217" max="9217" width="8" customWidth="1"/>
    <col min="9218" max="9218" width="57.625" customWidth="1"/>
    <col min="9219" max="9219" width="33" customWidth="1"/>
    <col min="9220" max="9220" width="34.375" customWidth="1"/>
    <col min="9221" max="9221" width="33.625" customWidth="1"/>
    <col min="9222" max="9222" width="33" customWidth="1"/>
    <col min="9223" max="9223" width="32.75" customWidth="1"/>
    <col min="9224" max="9224" width="33" customWidth="1"/>
    <col min="9225" max="9225" width="4.875" customWidth="1"/>
    <col min="9226" max="9226" width="33.5" customWidth="1"/>
    <col min="9227" max="9227" width="6.125" customWidth="1"/>
    <col min="9228" max="9231" width="30" customWidth="1"/>
    <col min="9473" max="9473" width="8" customWidth="1"/>
    <col min="9474" max="9474" width="57.625" customWidth="1"/>
    <col min="9475" max="9475" width="33" customWidth="1"/>
    <col min="9476" max="9476" width="34.375" customWidth="1"/>
    <col min="9477" max="9477" width="33.625" customWidth="1"/>
    <col min="9478" max="9478" width="33" customWidth="1"/>
    <col min="9479" max="9479" width="32.75" customWidth="1"/>
    <col min="9480" max="9480" width="33" customWidth="1"/>
    <col min="9481" max="9481" width="4.875" customWidth="1"/>
    <col min="9482" max="9482" width="33.5" customWidth="1"/>
    <col min="9483" max="9483" width="6.125" customWidth="1"/>
    <col min="9484" max="9487" width="30" customWidth="1"/>
    <col min="9729" max="9729" width="8" customWidth="1"/>
    <col min="9730" max="9730" width="57.625" customWidth="1"/>
    <col min="9731" max="9731" width="33" customWidth="1"/>
    <col min="9732" max="9732" width="34.375" customWidth="1"/>
    <col min="9733" max="9733" width="33.625" customWidth="1"/>
    <col min="9734" max="9734" width="33" customWidth="1"/>
    <col min="9735" max="9735" width="32.75" customWidth="1"/>
    <col min="9736" max="9736" width="33" customWidth="1"/>
    <col min="9737" max="9737" width="4.875" customWidth="1"/>
    <col min="9738" max="9738" width="33.5" customWidth="1"/>
    <col min="9739" max="9739" width="6.125" customWidth="1"/>
    <col min="9740" max="9743" width="30" customWidth="1"/>
    <col min="9985" max="9985" width="8" customWidth="1"/>
    <col min="9986" max="9986" width="57.625" customWidth="1"/>
    <col min="9987" max="9987" width="33" customWidth="1"/>
    <col min="9988" max="9988" width="34.375" customWidth="1"/>
    <col min="9989" max="9989" width="33.625" customWidth="1"/>
    <col min="9990" max="9990" width="33" customWidth="1"/>
    <col min="9991" max="9991" width="32.75" customWidth="1"/>
    <col min="9992" max="9992" width="33" customWidth="1"/>
    <col min="9993" max="9993" width="4.875" customWidth="1"/>
    <col min="9994" max="9994" width="33.5" customWidth="1"/>
    <col min="9995" max="9995" width="6.125" customWidth="1"/>
    <col min="9996" max="9999" width="30" customWidth="1"/>
    <col min="10241" max="10241" width="8" customWidth="1"/>
    <col min="10242" max="10242" width="57.625" customWidth="1"/>
    <col min="10243" max="10243" width="33" customWidth="1"/>
    <col min="10244" max="10244" width="34.375" customWidth="1"/>
    <col min="10245" max="10245" width="33.625" customWidth="1"/>
    <col min="10246" max="10246" width="33" customWidth="1"/>
    <col min="10247" max="10247" width="32.75" customWidth="1"/>
    <col min="10248" max="10248" width="33" customWidth="1"/>
    <col min="10249" max="10249" width="4.875" customWidth="1"/>
    <col min="10250" max="10250" width="33.5" customWidth="1"/>
    <col min="10251" max="10251" width="6.125" customWidth="1"/>
    <col min="10252" max="10255" width="30" customWidth="1"/>
    <col min="10497" max="10497" width="8" customWidth="1"/>
    <col min="10498" max="10498" width="57.625" customWidth="1"/>
    <col min="10499" max="10499" width="33" customWidth="1"/>
    <col min="10500" max="10500" width="34.375" customWidth="1"/>
    <col min="10501" max="10501" width="33.625" customWidth="1"/>
    <col min="10502" max="10502" width="33" customWidth="1"/>
    <col min="10503" max="10503" width="32.75" customWidth="1"/>
    <col min="10504" max="10504" width="33" customWidth="1"/>
    <col min="10505" max="10505" width="4.875" customWidth="1"/>
    <col min="10506" max="10506" width="33.5" customWidth="1"/>
    <col min="10507" max="10507" width="6.125" customWidth="1"/>
    <col min="10508" max="10511" width="30" customWidth="1"/>
    <col min="10753" max="10753" width="8" customWidth="1"/>
    <col min="10754" max="10754" width="57.625" customWidth="1"/>
    <col min="10755" max="10755" width="33" customWidth="1"/>
    <col min="10756" max="10756" width="34.375" customWidth="1"/>
    <col min="10757" max="10757" width="33.625" customWidth="1"/>
    <col min="10758" max="10758" width="33" customWidth="1"/>
    <col min="10759" max="10759" width="32.75" customWidth="1"/>
    <col min="10760" max="10760" width="33" customWidth="1"/>
    <col min="10761" max="10761" width="4.875" customWidth="1"/>
    <col min="10762" max="10762" width="33.5" customWidth="1"/>
    <col min="10763" max="10763" width="6.125" customWidth="1"/>
    <col min="10764" max="10767" width="30" customWidth="1"/>
    <col min="11009" max="11009" width="8" customWidth="1"/>
    <col min="11010" max="11010" width="57.625" customWidth="1"/>
    <col min="11011" max="11011" width="33" customWidth="1"/>
    <col min="11012" max="11012" width="34.375" customWidth="1"/>
    <col min="11013" max="11013" width="33.625" customWidth="1"/>
    <col min="11014" max="11014" width="33" customWidth="1"/>
    <col min="11015" max="11015" width="32.75" customWidth="1"/>
    <col min="11016" max="11016" width="33" customWidth="1"/>
    <col min="11017" max="11017" width="4.875" customWidth="1"/>
    <col min="11018" max="11018" width="33.5" customWidth="1"/>
    <col min="11019" max="11019" width="6.125" customWidth="1"/>
    <col min="11020" max="11023" width="30" customWidth="1"/>
    <col min="11265" max="11265" width="8" customWidth="1"/>
    <col min="11266" max="11266" width="57.625" customWidth="1"/>
    <col min="11267" max="11267" width="33" customWidth="1"/>
    <col min="11268" max="11268" width="34.375" customWidth="1"/>
    <col min="11269" max="11269" width="33.625" customWidth="1"/>
    <col min="11270" max="11270" width="33" customWidth="1"/>
    <col min="11271" max="11271" width="32.75" customWidth="1"/>
    <col min="11272" max="11272" width="33" customWidth="1"/>
    <col min="11273" max="11273" width="4.875" customWidth="1"/>
    <col min="11274" max="11274" width="33.5" customWidth="1"/>
    <col min="11275" max="11275" width="6.125" customWidth="1"/>
    <col min="11276" max="11279" width="30" customWidth="1"/>
    <col min="11521" max="11521" width="8" customWidth="1"/>
    <col min="11522" max="11522" width="57.625" customWidth="1"/>
    <col min="11523" max="11523" width="33" customWidth="1"/>
    <col min="11524" max="11524" width="34.375" customWidth="1"/>
    <col min="11525" max="11525" width="33.625" customWidth="1"/>
    <col min="11526" max="11526" width="33" customWidth="1"/>
    <col min="11527" max="11527" width="32.75" customWidth="1"/>
    <col min="11528" max="11528" width="33" customWidth="1"/>
    <col min="11529" max="11529" width="4.875" customWidth="1"/>
    <col min="11530" max="11530" width="33.5" customWidth="1"/>
    <col min="11531" max="11531" width="6.125" customWidth="1"/>
    <col min="11532" max="11535" width="30" customWidth="1"/>
    <col min="11777" max="11777" width="8" customWidth="1"/>
    <col min="11778" max="11778" width="57.625" customWidth="1"/>
    <col min="11779" max="11779" width="33" customWidth="1"/>
    <col min="11780" max="11780" width="34.375" customWidth="1"/>
    <col min="11781" max="11781" width="33.625" customWidth="1"/>
    <col min="11782" max="11782" width="33" customWidth="1"/>
    <col min="11783" max="11783" width="32.75" customWidth="1"/>
    <col min="11784" max="11784" width="33" customWidth="1"/>
    <col min="11785" max="11785" width="4.875" customWidth="1"/>
    <col min="11786" max="11786" width="33.5" customWidth="1"/>
    <col min="11787" max="11787" width="6.125" customWidth="1"/>
    <col min="11788" max="11791" width="30" customWidth="1"/>
    <col min="12033" max="12033" width="8" customWidth="1"/>
    <col min="12034" max="12034" width="57.625" customWidth="1"/>
    <col min="12035" max="12035" width="33" customWidth="1"/>
    <col min="12036" max="12036" width="34.375" customWidth="1"/>
    <col min="12037" max="12037" width="33.625" customWidth="1"/>
    <col min="12038" max="12038" width="33" customWidth="1"/>
    <col min="12039" max="12039" width="32.75" customWidth="1"/>
    <col min="12040" max="12040" width="33" customWidth="1"/>
    <col min="12041" max="12041" width="4.875" customWidth="1"/>
    <col min="12042" max="12042" width="33.5" customWidth="1"/>
    <col min="12043" max="12043" width="6.125" customWidth="1"/>
    <col min="12044" max="12047" width="30" customWidth="1"/>
    <col min="12289" max="12289" width="8" customWidth="1"/>
    <col min="12290" max="12290" width="57.625" customWidth="1"/>
    <col min="12291" max="12291" width="33" customWidth="1"/>
    <col min="12292" max="12292" width="34.375" customWidth="1"/>
    <col min="12293" max="12293" width="33.625" customWidth="1"/>
    <col min="12294" max="12294" width="33" customWidth="1"/>
    <col min="12295" max="12295" width="32.75" customWidth="1"/>
    <col min="12296" max="12296" width="33" customWidth="1"/>
    <col min="12297" max="12297" width="4.875" customWidth="1"/>
    <col min="12298" max="12298" width="33.5" customWidth="1"/>
    <col min="12299" max="12299" width="6.125" customWidth="1"/>
    <col min="12300" max="12303" width="30" customWidth="1"/>
    <col min="12545" max="12545" width="8" customWidth="1"/>
    <col min="12546" max="12546" width="57.625" customWidth="1"/>
    <col min="12547" max="12547" width="33" customWidth="1"/>
    <col min="12548" max="12548" width="34.375" customWidth="1"/>
    <col min="12549" max="12549" width="33.625" customWidth="1"/>
    <col min="12550" max="12550" width="33" customWidth="1"/>
    <col min="12551" max="12551" width="32.75" customWidth="1"/>
    <col min="12552" max="12552" width="33" customWidth="1"/>
    <col min="12553" max="12553" width="4.875" customWidth="1"/>
    <col min="12554" max="12554" width="33.5" customWidth="1"/>
    <col min="12555" max="12555" width="6.125" customWidth="1"/>
    <col min="12556" max="12559" width="30" customWidth="1"/>
    <col min="12801" max="12801" width="8" customWidth="1"/>
    <col min="12802" max="12802" width="57.625" customWidth="1"/>
    <col min="12803" max="12803" width="33" customWidth="1"/>
    <col min="12804" max="12804" width="34.375" customWidth="1"/>
    <col min="12805" max="12805" width="33.625" customWidth="1"/>
    <col min="12806" max="12806" width="33" customWidth="1"/>
    <col min="12807" max="12807" width="32.75" customWidth="1"/>
    <col min="12808" max="12808" width="33" customWidth="1"/>
    <col min="12809" max="12809" width="4.875" customWidth="1"/>
    <col min="12810" max="12810" width="33.5" customWidth="1"/>
    <col min="12811" max="12811" width="6.125" customWidth="1"/>
    <col min="12812" max="12815" width="30" customWidth="1"/>
    <col min="13057" max="13057" width="8" customWidth="1"/>
    <col min="13058" max="13058" width="57.625" customWidth="1"/>
    <col min="13059" max="13059" width="33" customWidth="1"/>
    <col min="13060" max="13060" width="34.375" customWidth="1"/>
    <col min="13061" max="13061" width="33.625" customWidth="1"/>
    <col min="13062" max="13062" width="33" customWidth="1"/>
    <col min="13063" max="13063" width="32.75" customWidth="1"/>
    <col min="13064" max="13064" width="33" customWidth="1"/>
    <col min="13065" max="13065" width="4.875" customWidth="1"/>
    <col min="13066" max="13066" width="33.5" customWidth="1"/>
    <col min="13067" max="13067" width="6.125" customWidth="1"/>
    <col min="13068" max="13071" width="30" customWidth="1"/>
    <col min="13313" max="13313" width="8" customWidth="1"/>
    <col min="13314" max="13314" width="57.625" customWidth="1"/>
    <col min="13315" max="13315" width="33" customWidth="1"/>
    <col min="13316" max="13316" width="34.375" customWidth="1"/>
    <col min="13317" max="13317" width="33.625" customWidth="1"/>
    <col min="13318" max="13318" width="33" customWidth="1"/>
    <col min="13319" max="13319" width="32.75" customWidth="1"/>
    <col min="13320" max="13320" width="33" customWidth="1"/>
    <col min="13321" max="13321" width="4.875" customWidth="1"/>
    <col min="13322" max="13322" width="33.5" customWidth="1"/>
    <col min="13323" max="13323" width="6.125" customWidth="1"/>
    <col min="13324" max="13327" width="30" customWidth="1"/>
    <col min="13569" max="13569" width="8" customWidth="1"/>
    <col min="13570" max="13570" width="57.625" customWidth="1"/>
    <col min="13571" max="13571" width="33" customWidth="1"/>
    <col min="13572" max="13572" width="34.375" customWidth="1"/>
    <col min="13573" max="13573" width="33.625" customWidth="1"/>
    <col min="13574" max="13574" width="33" customWidth="1"/>
    <col min="13575" max="13575" width="32.75" customWidth="1"/>
    <col min="13576" max="13576" width="33" customWidth="1"/>
    <col min="13577" max="13577" width="4.875" customWidth="1"/>
    <col min="13578" max="13578" width="33.5" customWidth="1"/>
    <col min="13579" max="13579" width="6.125" customWidth="1"/>
    <col min="13580" max="13583" width="30" customWidth="1"/>
    <col min="13825" max="13825" width="8" customWidth="1"/>
    <col min="13826" max="13826" width="57.625" customWidth="1"/>
    <col min="13827" max="13827" width="33" customWidth="1"/>
    <col min="13828" max="13828" width="34.375" customWidth="1"/>
    <col min="13829" max="13829" width="33.625" customWidth="1"/>
    <col min="13830" max="13830" width="33" customWidth="1"/>
    <col min="13831" max="13831" width="32.75" customWidth="1"/>
    <col min="13832" max="13832" width="33" customWidth="1"/>
    <col min="13833" max="13833" width="4.875" customWidth="1"/>
    <col min="13834" max="13834" width="33.5" customWidth="1"/>
    <col min="13835" max="13835" width="6.125" customWidth="1"/>
    <col min="13836" max="13839" width="30" customWidth="1"/>
    <col min="14081" max="14081" width="8" customWidth="1"/>
    <col min="14082" max="14082" width="57.625" customWidth="1"/>
    <col min="14083" max="14083" width="33" customWidth="1"/>
    <col min="14084" max="14084" width="34.375" customWidth="1"/>
    <col min="14085" max="14085" width="33.625" customWidth="1"/>
    <col min="14086" max="14086" width="33" customWidth="1"/>
    <col min="14087" max="14087" width="32.75" customWidth="1"/>
    <col min="14088" max="14088" width="33" customWidth="1"/>
    <col min="14089" max="14089" width="4.875" customWidth="1"/>
    <col min="14090" max="14090" width="33.5" customWidth="1"/>
    <col min="14091" max="14091" width="6.125" customWidth="1"/>
    <col min="14092" max="14095" width="30" customWidth="1"/>
    <col min="14337" max="14337" width="8" customWidth="1"/>
    <col min="14338" max="14338" width="57.625" customWidth="1"/>
    <col min="14339" max="14339" width="33" customWidth="1"/>
    <col min="14340" max="14340" width="34.375" customWidth="1"/>
    <col min="14341" max="14341" width="33.625" customWidth="1"/>
    <col min="14342" max="14342" width="33" customWidth="1"/>
    <col min="14343" max="14343" width="32.75" customWidth="1"/>
    <col min="14344" max="14344" width="33" customWidth="1"/>
    <col min="14345" max="14345" width="4.875" customWidth="1"/>
    <col min="14346" max="14346" width="33.5" customWidth="1"/>
    <col min="14347" max="14347" width="6.125" customWidth="1"/>
    <col min="14348" max="14351" width="30" customWidth="1"/>
    <col min="14593" max="14593" width="8" customWidth="1"/>
    <col min="14594" max="14594" width="57.625" customWidth="1"/>
    <col min="14595" max="14595" width="33" customWidth="1"/>
    <col min="14596" max="14596" width="34.375" customWidth="1"/>
    <col min="14597" max="14597" width="33.625" customWidth="1"/>
    <col min="14598" max="14598" width="33" customWidth="1"/>
    <col min="14599" max="14599" width="32.75" customWidth="1"/>
    <col min="14600" max="14600" width="33" customWidth="1"/>
    <col min="14601" max="14601" width="4.875" customWidth="1"/>
    <col min="14602" max="14602" width="33.5" customWidth="1"/>
    <col min="14603" max="14603" width="6.125" customWidth="1"/>
    <col min="14604" max="14607" width="30" customWidth="1"/>
    <col min="14849" max="14849" width="8" customWidth="1"/>
    <col min="14850" max="14850" width="57.625" customWidth="1"/>
    <col min="14851" max="14851" width="33" customWidth="1"/>
    <col min="14852" max="14852" width="34.375" customWidth="1"/>
    <col min="14853" max="14853" width="33.625" customWidth="1"/>
    <col min="14854" max="14854" width="33" customWidth="1"/>
    <col min="14855" max="14855" width="32.75" customWidth="1"/>
    <col min="14856" max="14856" width="33" customWidth="1"/>
    <col min="14857" max="14857" width="4.875" customWidth="1"/>
    <col min="14858" max="14858" width="33.5" customWidth="1"/>
    <col min="14859" max="14859" width="6.125" customWidth="1"/>
    <col min="14860" max="14863" width="30" customWidth="1"/>
    <col min="15105" max="15105" width="8" customWidth="1"/>
    <col min="15106" max="15106" width="57.625" customWidth="1"/>
    <col min="15107" max="15107" width="33" customWidth="1"/>
    <col min="15108" max="15108" width="34.375" customWidth="1"/>
    <col min="15109" max="15109" width="33.625" customWidth="1"/>
    <col min="15110" max="15110" width="33" customWidth="1"/>
    <col min="15111" max="15111" width="32.75" customWidth="1"/>
    <col min="15112" max="15112" width="33" customWidth="1"/>
    <col min="15113" max="15113" width="4.875" customWidth="1"/>
    <col min="15114" max="15114" width="33.5" customWidth="1"/>
    <col min="15115" max="15115" width="6.125" customWidth="1"/>
    <col min="15116" max="15119" width="30" customWidth="1"/>
    <col min="15361" max="15361" width="8" customWidth="1"/>
    <col min="15362" max="15362" width="57.625" customWidth="1"/>
    <col min="15363" max="15363" width="33" customWidth="1"/>
    <col min="15364" max="15364" width="34.375" customWidth="1"/>
    <col min="15365" max="15365" width="33.625" customWidth="1"/>
    <col min="15366" max="15366" width="33" customWidth="1"/>
    <col min="15367" max="15367" width="32.75" customWidth="1"/>
    <col min="15368" max="15368" width="33" customWidth="1"/>
    <col min="15369" max="15369" width="4.875" customWidth="1"/>
    <col min="15370" max="15370" width="33.5" customWidth="1"/>
    <col min="15371" max="15371" width="6.125" customWidth="1"/>
    <col min="15372" max="15375" width="30" customWidth="1"/>
    <col min="15617" max="15617" width="8" customWidth="1"/>
    <col min="15618" max="15618" width="57.625" customWidth="1"/>
    <col min="15619" max="15619" width="33" customWidth="1"/>
    <col min="15620" max="15620" width="34.375" customWidth="1"/>
    <col min="15621" max="15621" width="33.625" customWidth="1"/>
    <col min="15622" max="15622" width="33" customWidth="1"/>
    <col min="15623" max="15623" width="32.75" customWidth="1"/>
    <col min="15624" max="15624" width="33" customWidth="1"/>
    <col min="15625" max="15625" width="4.875" customWidth="1"/>
    <col min="15626" max="15626" width="33.5" customWidth="1"/>
    <col min="15627" max="15627" width="6.125" customWidth="1"/>
    <col min="15628" max="15631" width="30" customWidth="1"/>
    <col min="15873" max="15873" width="8" customWidth="1"/>
    <col min="15874" max="15874" width="57.625" customWidth="1"/>
    <col min="15875" max="15875" width="33" customWidth="1"/>
    <col min="15876" max="15876" width="34.375" customWidth="1"/>
    <col min="15877" max="15877" width="33.625" customWidth="1"/>
    <col min="15878" max="15878" width="33" customWidth="1"/>
    <col min="15879" max="15879" width="32.75" customWidth="1"/>
    <col min="15880" max="15880" width="33" customWidth="1"/>
    <col min="15881" max="15881" width="4.875" customWidth="1"/>
    <col min="15882" max="15882" width="33.5" customWidth="1"/>
    <col min="15883" max="15883" width="6.125" customWidth="1"/>
    <col min="15884" max="15887" width="30" customWidth="1"/>
    <col min="16129" max="16129" width="8" customWidth="1"/>
    <col min="16130" max="16130" width="57.625" customWidth="1"/>
    <col min="16131" max="16131" width="33" customWidth="1"/>
    <col min="16132" max="16132" width="34.375" customWidth="1"/>
    <col min="16133" max="16133" width="33.625" customWidth="1"/>
    <col min="16134" max="16134" width="33" customWidth="1"/>
    <col min="16135" max="16135" width="32.75" customWidth="1"/>
    <col min="16136" max="16136" width="33" customWidth="1"/>
    <col min="16137" max="16137" width="4.875" customWidth="1"/>
    <col min="16138" max="16138" width="33.5" customWidth="1"/>
    <col min="16139" max="16139" width="6.125" customWidth="1"/>
    <col min="16140" max="16143" width="30" customWidth="1"/>
  </cols>
  <sheetData>
    <row r="1" spans="2:15">
      <c r="H1" s="182"/>
    </row>
    <row r="2" spans="2:15" ht="34.5" thickBot="1">
      <c r="B2" s="183" t="s">
        <v>437</v>
      </c>
      <c r="C2" s="184"/>
      <c r="D2" s="184"/>
      <c r="E2" s="184"/>
      <c r="F2" s="184"/>
      <c r="H2" s="183"/>
    </row>
    <row r="3" spans="2:15" ht="24">
      <c r="B3" s="473" t="s">
        <v>438</v>
      </c>
      <c r="C3" s="185" t="s">
        <v>439</v>
      </c>
      <c r="D3" s="186" t="s">
        <v>440</v>
      </c>
      <c r="E3" s="187" t="s">
        <v>441</v>
      </c>
      <c r="F3" s="475" t="s">
        <v>442</v>
      </c>
      <c r="G3" s="477"/>
      <c r="H3" s="478" t="s">
        <v>443</v>
      </c>
      <c r="I3" s="480"/>
      <c r="J3" s="471" t="s">
        <v>444</v>
      </c>
    </row>
    <row r="4" spans="2:15" ht="59.25" customHeight="1" thickBot="1">
      <c r="B4" s="474"/>
      <c r="C4" s="188" t="s">
        <v>445</v>
      </c>
      <c r="D4" s="189" t="s">
        <v>446</v>
      </c>
      <c r="E4" s="190" t="s">
        <v>447</v>
      </c>
      <c r="F4" s="476"/>
      <c r="G4" s="477"/>
      <c r="H4" s="479"/>
      <c r="I4" s="480"/>
      <c r="J4" s="472"/>
    </row>
    <row r="5" spans="2:15" ht="25.5">
      <c r="B5" s="191" t="s">
        <v>448</v>
      </c>
      <c r="C5" s="192">
        <f>M6</f>
        <v>19</v>
      </c>
      <c r="D5" s="192">
        <f>M7</f>
        <v>26</v>
      </c>
      <c r="E5" s="193">
        <f>M8</f>
        <v>1</v>
      </c>
      <c r="F5" s="194">
        <f>SUM(B5:E5)</f>
        <v>46</v>
      </c>
      <c r="H5" s="195">
        <v>10</v>
      </c>
      <c r="J5" s="195">
        <f>F5+H5</f>
        <v>56</v>
      </c>
      <c r="L5" s="196" t="s">
        <v>449</v>
      </c>
      <c r="M5" s="197" t="s">
        <v>450</v>
      </c>
      <c r="N5" s="197" t="s">
        <v>451</v>
      </c>
      <c r="O5" s="198" t="s">
        <v>452</v>
      </c>
    </row>
    <row r="6" spans="2:15" ht="24.75">
      <c r="B6" s="191" t="s">
        <v>453</v>
      </c>
      <c r="C6" s="192">
        <f>N6</f>
        <v>4209000000</v>
      </c>
      <c r="D6" s="192">
        <f>N7</f>
        <v>15719000000</v>
      </c>
      <c r="E6" s="193">
        <f>N8</f>
        <v>96460385</v>
      </c>
      <c r="F6" s="194">
        <f>SUM(C6:E6)</f>
        <v>20024460385</v>
      </c>
      <c r="H6" s="195">
        <v>9616839960</v>
      </c>
      <c r="J6" s="195">
        <f>F6+H6</f>
        <v>29641300345</v>
      </c>
      <c r="L6" s="199" t="s">
        <v>454</v>
      </c>
      <c r="M6" s="200">
        <v>19</v>
      </c>
      <c r="N6" s="201">
        <v>4209000000</v>
      </c>
      <c r="O6" s="202">
        <v>2320063</v>
      </c>
    </row>
    <row r="7" spans="2:15" ht="24.75">
      <c r="B7" s="203" t="s">
        <v>455</v>
      </c>
      <c r="C7" s="204">
        <v>0</v>
      </c>
      <c r="D7" s="205">
        <v>0</v>
      </c>
      <c r="E7" s="206">
        <v>0</v>
      </c>
      <c r="F7" s="207">
        <v>0</v>
      </c>
      <c r="H7" s="195">
        <v>8000000000</v>
      </c>
      <c r="J7" s="208"/>
      <c r="L7" s="199" t="s">
        <v>456</v>
      </c>
      <c r="M7" s="200">
        <v>26</v>
      </c>
      <c r="N7" s="201">
        <v>15719000000</v>
      </c>
      <c r="O7" s="202">
        <v>18168585</v>
      </c>
    </row>
    <row r="8" spans="2:15" ht="25.5" thickBot="1">
      <c r="B8" s="209" t="s">
        <v>457</v>
      </c>
      <c r="C8" s="210">
        <v>0.6</v>
      </c>
      <c r="D8" s="210">
        <v>0.6</v>
      </c>
      <c r="E8" s="211">
        <v>0.6</v>
      </c>
      <c r="F8" s="212">
        <v>0.6</v>
      </c>
      <c r="H8" s="213">
        <v>1</v>
      </c>
      <c r="J8" s="208"/>
      <c r="L8" s="214" t="s">
        <v>458</v>
      </c>
      <c r="M8" s="215">
        <v>1</v>
      </c>
      <c r="N8" s="216">
        <v>96460385</v>
      </c>
      <c r="O8" s="217">
        <v>45301</v>
      </c>
    </row>
    <row r="9" spans="2:15" ht="24">
      <c r="B9" s="218" t="s">
        <v>459</v>
      </c>
      <c r="C9" s="205">
        <f>(C6-C7)*C8</f>
        <v>2525400000</v>
      </c>
      <c r="D9" s="205">
        <f>(D6-D7)*D8</f>
        <v>9431400000</v>
      </c>
      <c r="E9" s="219">
        <f>(E6-E7)*E8</f>
        <v>57876231</v>
      </c>
      <c r="F9" s="220">
        <f>(F6-F7)*F8</f>
        <v>12014676231</v>
      </c>
      <c r="H9" s="195">
        <f>(H6-H7)*H8</f>
        <v>1616839960</v>
      </c>
      <c r="J9" s="195">
        <f>F9+H9</f>
        <v>13631516191</v>
      </c>
      <c r="O9" s="221"/>
    </row>
    <row r="10" spans="2:15" ht="24">
      <c r="B10" s="218" t="s">
        <v>460</v>
      </c>
      <c r="C10" s="222">
        <v>0.06</v>
      </c>
      <c r="D10" s="222">
        <v>0.06</v>
      </c>
      <c r="E10" s="223">
        <v>0.03</v>
      </c>
      <c r="F10" s="224">
        <v>0.06</v>
      </c>
      <c r="H10" s="225">
        <v>5.0000000000000001E-3</v>
      </c>
      <c r="J10" s="208"/>
      <c r="L10" s="226" t="s">
        <v>461</v>
      </c>
    </row>
    <row r="11" spans="2:15" ht="24">
      <c r="B11" s="218" t="s">
        <v>462</v>
      </c>
      <c r="C11" s="227">
        <f>ROUNDDOWN(C9*C10,0)</f>
        <v>151524000</v>
      </c>
      <c r="D11" s="227">
        <f>ROUNDDOWN(D9*D10,0)</f>
        <v>565884000</v>
      </c>
      <c r="E11" s="228">
        <f>ROUNDDOWN(E9*E10,0)</f>
        <v>1736286</v>
      </c>
      <c r="F11" s="229">
        <f>ROUNDDOWN(F9*F10,0)</f>
        <v>720880573</v>
      </c>
      <c r="H11" s="195">
        <f>ROUNDDOWN(H9*H10,0)</f>
        <v>8084199</v>
      </c>
      <c r="J11" s="195">
        <f>F11+H11</f>
        <v>728964772</v>
      </c>
    </row>
    <row r="12" spans="2:15" ht="24">
      <c r="B12" s="218" t="s">
        <v>463</v>
      </c>
      <c r="C12" s="227">
        <f>(C13*C14)/C15</f>
        <v>1330310.5442037247</v>
      </c>
      <c r="D12" s="227">
        <f>(D13*D14)/D15</f>
        <v>10777727.105521949</v>
      </c>
      <c r="E12" s="228">
        <f>(E13*E14)/E15</f>
        <v>27180.600000000002</v>
      </c>
      <c r="F12" s="229">
        <f>ROUNDDOWN(F13*F14/F15,0)</f>
        <v>12211267</v>
      </c>
      <c r="H12" s="195">
        <f>ROUNDDOWN((H13*H14)/H15,0)</f>
        <v>4527776</v>
      </c>
      <c r="J12" s="195">
        <f>F12+H12</f>
        <v>16739043</v>
      </c>
      <c r="L12" s="230" t="s">
        <v>464</v>
      </c>
    </row>
    <row r="13" spans="2:15" ht="24">
      <c r="B13" s="231" t="s">
        <v>465</v>
      </c>
      <c r="C13" s="192">
        <f>O6</f>
        <v>2320063</v>
      </c>
      <c r="D13" s="192">
        <f>O7</f>
        <v>18168585</v>
      </c>
      <c r="E13" s="193">
        <f>O8</f>
        <v>45301</v>
      </c>
      <c r="F13" s="194">
        <f>SUM(C13:E13)</f>
        <v>20533949</v>
      </c>
      <c r="G13" s="232"/>
      <c r="H13" s="195">
        <v>25730700</v>
      </c>
      <c r="J13" s="208"/>
    </row>
    <row r="14" spans="2:15" ht="24">
      <c r="B14" s="231" t="s">
        <v>466</v>
      </c>
      <c r="C14" s="192">
        <f>C9*60%*0.4%-630000</f>
        <v>5430960</v>
      </c>
      <c r="D14" s="192">
        <f>D9*60%*0.4%-630000</f>
        <v>22005360</v>
      </c>
      <c r="E14" s="193">
        <f>E9*60%*0.1%</f>
        <v>34725.738600000004</v>
      </c>
      <c r="F14" s="194">
        <f>F9*60%*0.4%-630000</f>
        <v>28205222.954399999</v>
      </c>
      <c r="G14" s="232"/>
      <c r="H14" s="195">
        <f>H9*70%*0.4%</f>
        <v>4527151.8880000003</v>
      </c>
      <c r="J14" s="208"/>
    </row>
    <row r="15" spans="2:15" ht="24">
      <c r="B15" s="231" t="s">
        <v>467</v>
      </c>
      <c r="C15" s="233">
        <f>(C6*0.6-300000000)*0.4%+570000</f>
        <v>9471600</v>
      </c>
      <c r="D15" s="233">
        <f>(D6*0.6-300000000)*0.4%+570000</f>
        <v>37095600</v>
      </c>
      <c r="E15" s="234">
        <f>(E6*0.6)*0.1%</f>
        <v>57876.231</v>
      </c>
      <c r="F15" s="235">
        <f>(F6*0.6-300000000)*0.4%+570000</f>
        <v>47428704.924000002</v>
      </c>
      <c r="G15" s="232"/>
      <c r="H15" s="236">
        <f>(H6*0.7-1000000000)*0.4%+2800000</f>
        <v>25727151.888</v>
      </c>
      <c r="J15" s="208"/>
    </row>
    <row r="16" spans="2:15" ht="24">
      <c r="B16" s="237" t="s">
        <v>468</v>
      </c>
      <c r="C16" s="192">
        <f>C11-C12</f>
        <v>150193689.45579627</v>
      </c>
      <c r="D16" s="192">
        <f>D11-D12</f>
        <v>555106272.89447808</v>
      </c>
      <c r="E16" s="193">
        <f>E11-E12</f>
        <v>1709105.4</v>
      </c>
      <c r="F16" s="194">
        <f>F11-F12</f>
        <v>708669306</v>
      </c>
      <c r="H16" s="195">
        <f>H11-H12</f>
        <v>3556423</v>
      </c>
      <c r="J16" s="195">
        <f>F16+H16</f>
        <v>712225729</v>
      </c>
    </row>
    <row r="17" spans="2:12" ht="24.75" thickBot="1">
      <c r="B17" s="237" t="s">
        <v>469</v>
      </c>
      <c r="C17" s="204">
        <f>C16*0.2</f>
        <v>30038737.891159255</v>
      </c>
      <c r="D17" s="204">
        <f>D16*0.2</f>
        <v>111021254.57889563</v>
      </c>
      <c r="E17" s="206">
        <f>E16*0.2</f>
        <v>341821.08</v>
      </c>
      <c r="F17" s="207">
        <f>F16*0.2</f>
        <v>141733861.20000002</v>
      </c>
      <c r="H17" s="238">
        <f>H16*0.2</f>
        <v>711284.60000000009</v>
      </c>
      <c r="J17" s="195">
        <f>ROUNDDOWN(J16*0.2,0)</f>
        <v>142445145</v>
      </c>
    </row>
    <row r="18" spans="2:12" ht="27" thickBot="1">
      <c r="B18" s="239" t="s">
        <v>470</v>
      </c>
      <c r="C18" s="240">
        <f>C16+C17</f>
        <v>180232427.34695554</v>
      </c>
      <c r="D18" s="241">
        <f>D16+D17</f>
        <v>666127527.47337365</v>
      </c>
      <c r="E18" s="242">
        <f>E16+E17</f>
        <v>2050926.48</v>
      </c>
      <c r="F18" s="243">
        <f>F16+F17</f>
        <v>850403167.20000005</v>
      </c>
      <c r="G18" s="244" t="s">
        <v>471</v>
      </c>
      <c r="H18" s="245">
        <f>H16+H17</f>
        <v>4267707.5999999996</v>
      </c>
      <c r="I18" s="246"/>
      <c r="J18" s="247">
        <f>J16+J17</f>
        <v>854670874</v>
      </c>
    </row>
    <row r="19" spans="2:12" s="232" customFormat="1" ht="27" thickBot="1">
      <c r="B19" s="248"/>
      <c r="C19" s="249"/>
      <c r="D19" s="249"/>
      <c r="E19" s="250"/>
      <c r="F19" s="251">
        <f>C18+D18+E18</f>
        <v>848410881.30032921</v>
      </c>
      <c r="G19" s="244" t="s">
        <v>472</v>
      </c>
      <c r="H19" s="252" t="s">
        <v>473</v>
      </c>
      <c r="I19" s="253"/>
    </row>
    <row r="20" spans="2:12" ht="27.75" thickBot="1">
      <c r="B20" s="254"/>
      <c r="C20" s="255"/>
      <c r="D20" s="255"/>
      <c r="F20" s="256">
        <f>F18-F19</f>
        <v>1992285.8996708393</v>
      </c>
      <c r="G20" s="257" t="str">
        <f>"주택합산으로 인한 초과분"</f>
        <v>주택합산으로 인한 초과분</v>
      </c>
      <c r="H20" s="258"/>
    </row>
    <row r="21" spans="2:12" ht="27" thickBot="1">
      <c r="B21" s="183" t="s">
        <v>474</v>
      </c>
      <c r="C21" s="259"/>
      <c r="D21" s="259"/>
      <c r="E21" s="259"/>
      <c r="F21" s="259"/>
      <c r="L21" s="230" t="s">
        <v>475</v>
      </c>
    </row>
    <row r="22" spans="2:12" ht="24" customHeight="1">
      <c r="B22" s="453" t="s">
        <v>476</v>
      </c>
      <c r="C22" s="454"/>
      <c r="D22" s="457" t="s">
        <v>477</v>
      </c>
      <c r="E22" s="459" t="s">
        <v>478</v>
      </c>
      <c r="F22" s="444"/>
    </row>
    <row r="23" spans="2:12" ht="24" customHeight="1" thickBot="1">
      <c r="B23" s="455"/>
      <c r="C23" s="456"/>
      <c r="D23" s="458"/>
      <c r="E23" s="260" t="s">
        <v>479</v>
      </c>
      <c r="F23" s="261" t="s">
        <v>480</v>
      </c>
      <c r="H23" s="262"/>
    </row>
    <row r="24" spans="2:12" ht="24">
      <c r="B24" s="460" t="s">
        <v>481</v>
      </c>
      <c r="C24" s="263" t="str">
        <f>C3</f>
        <v>에이취에이건설㈜</v>
      </c>
      <c r="D24" s="264">
        <f>C18</f>
        <v>180232427.34695554</v>
      </c>
      <c r="E24" s="265">
        <f>$D24*0.5</f>
        <v>90116213.673477769</v>
      </c>
      <c r="F24" s="266">
        <f>ROUNDDOWN($D24*0.5,0)</f>
        <v>90116213</v>
      </c>
    </row>
    <row r="25" spans="2:12" ht="24">
      <c r="B25" s="461"/>
      <c r="C25" s="267" t="str">
        <f>D3</f>
        <v>대한리츠㈜</v>
      </c>
      <c r="D25" s="268">
        <f>ROUND(D18,1)</f>
        <v>666127527.5</v>
      </c>
      <c r="E25" s="269">
        <f>$D25*0.5</f>
        <v>333063763.75</v>
      </c>
      <c r="F25" s="270">
        <f>$D25*0.5</f>
        <v>333063763.75</v>
      </c>
    </row>
    <row r="26" spans="2:12" ht="24.75" thickBot="1">
      <c r="B26" s="461"/>
      <c r="C26" s="271" t="str">
        <f>E3</f>
        <v>태평개발</v>
      </c>
      <c r="D26" s="272">
        <f>E18</f>
        <v>2050926.48</v>
      </c>
      <c r="E26" s="273">
        <f>ROUNDDOWN($D26*0.5,0)</f>
        <v>1025463</v>
      </c>
      <c r="F26" s="274">
        <f>$D26*0.5</f>
        <v>1025463.24</v>
      </c>
    </row>
    <row r="27" spans="2:12" ht="26.25" thickBot="1">
      <c r="B27" s="462"/>
      <c r="C27" s="275" t="s">
        <v>482</v>
      </c>
      <c r="D27" s="276">
        <f>SUM(D24:D26)</f>
        <v>848410881.32695556</v>
      </c>
      <c r="E27" s="277">
        <f>ROUNDUP(SUM(E24:E26),0)</f>
        <v>424205441</v>
      </c>
      <c r="F27" s="278">
        <f>SUM(F24:F26)</f>
        <v>424205439.99000001</v>
      </c>
      <c r="H27" s="279"/>
    </row>
    <row r="28" spans="2:12" ht="15.75" customHeight="1" thickBot="1"/>
    <row r="29" spans="2:12" ht="12.75" customHeight="1">
      <c r="B29" s="460" t="s">
        <v>483</v>
      </c>
      <c r="C29" s="463" t="s">
        <v>484</v>
      </c>
      <c r="D29" s="465">
        <f>ROUNDDOWN(H18,0)</f>
        <v>4267707</v>
      </c>
      <c r="E29" s="467">
        <f>D29*0.5</f>
        <v>2133853.5</v>
      </c>
      <c r="F29" s="469">
        <f>ROUNDDOWN(D29*0.5,0)</f>
        <v>2133853</v>
      </c>
    </row>
    <row r="30" spans="2:12" ht="12.75" customHeight="1">
      <c r="B30" s="461"/>
      <c r="C30" s="464"/>
      <c r="D30" s="466"/>
      <c r="E30" s="468"/>
      <c r="F30" s="470"/>
    </row>
    <row r="31" spans="2:12" ht="24.75" thickBot="1">
      <c r="B31" s="461"/>
      <c r="C31" s="280" t="s">
        <v>485</v>
      </c>
      <c r="D31" s="281">
        <f>F18-SUM(C18:E18)</f>
        <v>1992285.8996708393</v>
      </c>
      <c r="E31" s="282">
        <f>D31*0.5</f>
        <v>996142.94983541965</v>
      </c>
      <c r="F31" s="283">
        <f>D31*0.5</f>
        <v>996142.94983541965</v>
      </c>
    </row>
    <row r="32" spans="2:12" ht="24.75" thickBot="1">
      <c r="B32" s="462"/>
      <c r="C32" s="284" t="s">
        <v>482</v>
      </c>
      <c r="D32" s="285">
        <f>SUM(D29:D31)</f>
        <v>6259992.8996708393</v>
      </c>
      <c r="E32" s="286">
        <f>ROUNDUP(E29+E31,0)</f>
        <v>3129997</v>
      </c>
      <c r="F32" s="287">
        <f>F29+F31</f>
        <v>3129995.9498354197</v>
      </c>
    </row>
    <row r="33" spans="2:8" ht="20.25">
      <c r="D33" s="288"/>
      <c r="E33" s="289"/>
      <c r="F33" s="289"/>
    </row>
    <row r="34" spans="2:8" ht="41.25" customHeight="1" thickBot="1">
      <c r="B34" s="183" t="s">
        <v>486</v>
      </c>
    </row>
    <row r="35" spans="2:8" ht="21.75" customHeight="1">
      <c r="B35" s="439" t="s">
        <v>476</v>
      </c>
      <c r="C35" s="441" t="s">
        <v>477</v>
      </c>
      <c r="D35" s="443" t="s">
        <v>478</v>
      </c>
      <c r="E35" s="444"/>
    </row>
    <row r="36" spans="2:8" ht="21.75" customHeight="1">
      <c r="B36" s="440"/>
      <c r="C36" s="442"/>
      <c r="D36" s="290" t="s">
        <v>479</v>
      </c>
      <c r="E36" s="291" t="s">
        <v>480</v>
      </c>
    </row>
    <row r="37" spans="2:8" ht="21.75" customHeight="1">
      <c r="B37" s="292" t="s">
        <v>487</v>
      </c>
      <c r="C37" s="293">
        <f>J16</f>
        <v>712225729</v>
      </c>
      <c r="D37" s="294">
        <f>C37/2</f>
        <v>356112864.5</v>
      </c>
      <c r="E37" s="295">
        <f>ROUNDDOWN(C37/2,0)</f>
        <v>356112864</v>
      </c>
    </row>
    <row r="38" spans="2:8" ht="21.75" customHeight="1">
      <c r="B38" s="292" t="s">
        <v>488</v>
      </c>
      <c r="C38" s="293">
        <f>J17</f>
        <v>142445145</v>
      </c>
      <c r="D38" s="294">
        <f>C38/2</f>
        <v>71222572.5</v>
      </c>
      <c r="E38" s="295">
        <f>ROUNDDOWN(C38/2,0)</f>
        <v>71222572</v>
      </c>
    </row>
    <row r="39" spans="2:8" ht="19.5" customHeight="1">
      <c r="B39" s="445" t="s">
        <v>489</v>
      </c>
      <c r="C39" s="447">
        <f>J18</f>
        <v>854670874</v>
      </c>
      <c r="D39" s="449">
        <f>C39-E39</f>
        <v>427335438</v>
      </c>
      <c r="E39" s="451">
        <f>E37+E38</f>
        <v>427335436</v>
      </c>
      <c r="H39" s="296"/>
    </row>
    <row r="40" spans="2:8" ht="12.75" customHeight="1" thickBot="1">
      <c r="B40" s="446"/>
      <c r="C40" s="448"/>
      <c r="D40" s="450"/>
      <c r="E40" s="452"/>
    </row>
    <row r="41" spans="2:8" ht="30.75" customHeight="1"/>
    <row r="42" spans="2:8" ht="26.25">
      <c r="B42" s="183" t="s">
        <v>490</v>
      </c>
      <c r="C42" s="297"/>
      <c r="D42" s="297"/>
      <c r="E42" s="297"/>
      <c r="F42" s="297"/>
      <c r="G42" s="297"/>
    </row>
    <row r="43" spans="2:8" ht="26.25">
      <c r="B43" s="183"/>
      <c r="C43" s="297"/>
      <c r="D43" s="297"/>
      <c r="E43" s="297"/>
      <c r="F43" s="297"/>
      <c r="G43" s="297"/>
    </row>
    <row r="44" spans="2:8" ht="20.25" thickBot="1">
      <c r="B44" s="298" t="s">
        <v>491</v>
      </c>
      <c r="C44" s="299"/>
      <c r="D44" s="297"/>
      <c r="E44" s="297"/>
      <c r="F44" s="297"/>
      <c r="G44" s="297"/>
    </row>
    <row r="45" spans="2:8" ht="19.5">
      <c r="B45" s="300" t="s">
        <v>492</v>
      </c>
      <c r="C45" s="301">
        <f>E24</f>
        <v>90116213.673477769</v>
      </c>
      <c r="D45" s="302" t="s">
        <v>493</v>
      </c>
      <c r="E45" s="303">
        <f>C65</f>
        <v>427335430</v>
      </c>
      <c r="F45" s="297" t="s">
        <v>494</v>
      </c>
      <c r="G45" s="297"/>
    </row>
    <row r="46" spans="2:8" ht="19.5">
      <c r="B46" s="304" t="s">
        <v>495</v>
      </c>
      <c r="C46" s="305">
        <f>E25</f>
        <v>333063763.75</v>
      </c>
      <c r="D46" s="306"/>
      <c r="E46" s="307"/>
      <c r="F46" s="297"/>
      <c r="G46" s="297"/>
    </row>
    <row r="47" spans="2:8" ht="19.5">
      <c r="B47" s="304" t="s">
        <v>496</v>
      </c>
      <c r="C47" s="305">
        <f>E26</f>
        <v>1025463</v>
      </c>
      <c r="D47" s="308"/>
      <c r="E47" s="309"/>
      <c r="F47" s="297"/>
      <c r="G47" s="297"/>
    </row>
    <row r="48" spans="2:8" ht="20.25" thickBot="1">
      <c r="B48" s="310" t="s">
        <v>497</v>
      </c>
      <c r="C48" s="311">
        <f>ROUNDDOWN(E45-C45-C46-C47,0)</f>
        <v>3129989</v>
      </c>
      <c r="D48" s="312"/>
      <c r="E48" s="313"/>
      <c r="F48" s="297"/>
      <c r="G48" s="297"/>
    </row>
    <row r="49" spans="2:7" ht="20.25" thickBot="1">
      <c r="B49" s="310" t="s">
        <v>497</v>
      </c>
      <c r="C49" s="311">
        <f>C70</f>
        <v>8</v>
      </c>
      <c r="D49" s="314" t="s">
        <v>498</v>
      </c>
      <c r="E49" s="315">
        <f>SUM(C49:C49)</f>
        <v>8</v>
      </c>
      <c r="F49" s="297" t="s">
        <v>499</v>
      </c>
      <c r="G49" s="297"/>
    </row>
    <row r="50" spans="2:7" ht="18.75">
      <c r="B50" s="297"/>
      <c r="C50" s="297"/>
      <c r="D50" s="297"/>
      <c r="E50" s="297"/>
      <c r="F50" s="297"/>
      <c r="G50" s="297"/>
    </row>
    <row r="51" spans="2:7" ht="20.25" thickBot="1">
      <c r="B51" s="298" t="s">
        <v>500</v>
      </c>
      <c r="C51" s="299"/>
      <c r="D51" s="297"/>
      <c r="E51" s="297"/>
      <c r="F51" s="297"/>
      <c r="G51" s="297"/>
    </row>
    <row r="52" spans="2:7" ht="19.5">
      <c r="B52" s="300" t="s">
        <v>492</v>
      </c>
      <c r="C52" s="301">
        <f>F24</f>
        <v>90116213</v>
      </c>
      <c r="D52" s="302" t="s">
        <v>501</v>
      </c>
      <c r="E52" s="303">
        <f>D65</f>
        <v>427335430</v>
      </c>
      <c r="F52" s="297" t="s">
        <v>494</v>
      </c>
      <c r="G52" s="297"/>
    </row>
    <row r="53" spans="2:7" ht="19.5">
      <c r="B53" s="304" t="s">
        <v>495</v>
      </c>
      <c r="C53" s="305">
        <f>F25</f>
        <v>333063763.75</v>
      </c>
      <c r="D53" s="306"/>
      <c r="E53" s="307"/>
      <c r="F53" s="297"/>
      <c r="G53" s="297"/>
    </row>
    <row r="54" spans="2:7" ht="19.5">
      <c r="B54" s="304" t="s">
        <v>496</v>
      </c>
      <c r="C54" s="305">
        <f>F26</f>
        <v>1025463.24</v>
      </c>
      <c r="D54" s="308"/>
      <c r="E54" s="309"/>
      <c r="F54" s="297"/>
      <c r="G54" s="297"/>
    </row>
    <row r="55" spans="2:7" ht="20.25" thickBot="1">
      <c r="B55" s="310" t="s">
        <v>497</v>
      </c>
      <c r="C55" s="311">
        <f>E52-C52-C53-C54</f>
        <v>3129990.01</v>
      </c>
      <c r="D55" s="312"/>
      <c r="E55" s="313"/>
      <c r="F55" s="297"/>
      <c r="G55" s="297"/>
    </row>
    <row r="56" spans="2:7" ht="20.25" thickBot="1">
      <c r="B56" s="310" t="s">
        <v>497</v>
      </c>
      <c r="C56" s="311">
        <f>D70</f>
        <v>6</v>
      </c>
      <c r="D56" s="314" t="s">
        <v>498</v>
      </c>
      <c r="E56" s="315">
        <f>SUM(C56:C56)</f>
        <v>6</v>
      </c>
      <c r="F56" s="297" t="s">
        <v>499</v>
      </c>
      <c r="G56" s="297"/>
    </row>
    <row r="57" spans="2:7" ht="19.5">
      <c r="B57" s="308"/>
      <c r="C57" s="305"/>
      <c r="D57" s="306"/>
      <c r="E57" s="305"/>
      <c r="F57" s="297"/>
      <c r="G57" s="297"/>
    </row>
    <row r="58" spans="2:7" ht="20.25" thickBot="1">
      <c r="B58" s="298" t="s">
        <v>502</v>
      </c>
      <c r="C58" s="299"/>
      <c r="D58" s="297"/>
      <c r="E58" s="297"/>
      <c r="F58" s="297"/>
      <c r="G58" s="297"/>
    </row>
    <row r="59" spans="2:7" ht="20.25" thickBot="1">
      <c r="B59" s="316" t="s">
        <v>501</v>
      </c>
      <c r="C59" s="317">
        <f>E52</f>
        <v>427335430</v>
      </c>
      <c r="D59" s="318" t="s">
        <v>493</v>
      </c>
      <c r="E59" s="319">
        <f>C59</f>
        <v>427335430</v>
      </c>
      <c r="F59" s="297" t="s">
        <v>494</v>
      </c>
      <c r="G59" s="297"/>
    </row>
    <row r="60" spans="2:7" ht="27" thickBot="1">
      <c r="B60" s="320" t="s">
        <v>503</v>
      </c>
      <c r="C60" s="297"/>
      <c r="D60" s="297"/>
      <c r="E60" s="297"/>
      <c r="F60" s="297"/>
      <c r="G60" s="297"/>
    </row>
    <row r="61" spans="2:7" ht="26.25">
      <c r="B61" s="321" t="s">
        <v>449</v>
      </c>
      <c r="C61" s="322" t="s">
        <v>504</v>
      </c>
      <c r="D61" s="322" t="s">
        <v>505</v>
      </c>
      <c r="E61" s="323" t="s">
        <v>506</v>
      </c>
      <c r="F61" s="297"/>
      <c r="G61" s="297"/>
    </row>
    <row r="62" spans="2:7" ht="48" hidden="1">
      <c r="B62" s="324" t="s">
        <v>507</v>
      </c>
      <c r="C62" s="325" t="s">
        <v>508</v>
      </c>
      <c r="D62" s="325" t="s">
        <v>509</v>
      </c>
      <c r="E62" s="326" t="s">
        <v>510</v>
      </c>
    </row>
    <row r="63" spans="2:7" ht="24" hidden="1">
      <c r="B63" s="327" t="s">
        <v>511</v>
      </c>
      <c r="C63" s="328">
        <f>ROUNDDOWN(E67/2,-1)</f>
        <v>356112860</v>
      </c>
      <c r="D63" s="328">
        <f>ROUNDDOWN(E67/2,-1)</f>
        <v>356112860</v>
      </c>
      <c r="E63" s="329">
        <f>SUM(C63:D63)</f>
        <v>712225720</v>
      </c>
    </row>
    <row r="64" spans="2:7" ht="24" hidden="1">
      <c r="B64" s="327" t="s">
        <v>512</v>
      </c>
      <c r="C64" s="328">
        <f>ROUNDDOWN(E68/2,-1)</f>
        <v>71222570</v>
      </c>
      <c r="D64" s="328">
        <f>ROUNDDOWN(E68/2,-1)</f>
        <v>71222570</v>
      </c>
      <c r="E64" s="329">
        <f>SUM(C64:D64)</f>
        <v>142445140</v>
      </c>
    </row>
    <row r="65" spans="2:5" ht="24">
      <c r="B65" s="330" t="s">
        <v>513</v>
      </c>
      <c r="C65" s="331">
        <f>C63+C64</f>
        <v>427335430</v>
      </c>
      <c r="D65" s="331">
        <f>D63+D64</f>
        <v>427335430</v>
      </c>
      <c r="E65" s="332">
        <f>SUM(C65:D65)</f>
        <v>854670860</v>
      </c>
    </row>
    <row r="66" spans="2:5" ht="24" hidden="1">
      <c r="B66" s="333" t="s">
        <v>514</v>
      </c>
      <c r="C66" s="334" t="s">
        <v>515</v>
      </c>
      <c r="D66" s="334" t="s">
        <v>516</v>
      </c>
      <c r="E66" s="335" t="s">
        <v>517</v>
      </c>
    </row>
    <row r="67" spans="2:5" ht="24" hidden="1">
      <c r="B67" s="327" t="s">
        <v>511</v>
      </c>
      <c r="C67" s="336">
        <v>356112865</v>
      </c>
      <c r="D67" s="336">
        <v>356112864</v>
      </c>
      <c r="E67" s="337">
        <v>712225729</v>
      </c>
    </row>
    <row r="68" spans="2:5" ht="24" hidden="1">
      <c r="B68" s="327" t="s">
        <v>512</v>
      </c>
      <c r="C68" s="336">
        <v>71222573</v>
      </c>
      <c r="D68" s="336">
        <v>71222572</v>
      </c>
      <c r="E68" s="337">
        <v>142445145</v>
      </c>
    </row>
    <row r="69" spans="2:5" ht="24">
      <c r="B69" s="330" t="s">
        <v>518</v>
      </c>
      <c r="C69" s="338">
        <f>SUM(C67:C68)</f>
        <v>427335438</v>
      </c>
      <c r="D69" s="338">
        <f>SUM(D67:D68)</f>
        <v>427335436</v>
      </c>
      <c r="E69" s="337">
        <f>E67+E68</f>
        <v>854670874</v>
      </c>
    </row>
    <row r="70" spans="2:5" ht="24.75" thickBot="1">
      <c r="B70" s="339" t="s">
        <v>519</v>
      </c>
      <c r="C70" s="340">
        <f>C69-C65</f>
        <v>8</v>
      </c>
      <c r="D70" s="340">
        <f>D69-D65</f>
        <v>6</v>
      </c>
      <c r="E70" s="341">
        <f>E69-E65</f>
        <v>14</v>
      </c>
    </row>
  </sheetData>
  <mergeCells count="22">
    <mergeCell ref="J3:J4"/>
    <mergeCell ref="B3:B4"/>
    <mergeCell ref="F3:F4"/>
    <mergeCell ref="G3:G4"/>
    <mergeCell ref="H3:H4"/>
    <mergeCell ref="I3:I4"/>
    <mergeCell ref="B22:C23"/>
    <mergeCell ref="D22:D23"/>
    <mergeCell ref="E22:F22"/>
    <mergeCell ref="B24:B27"/>
    <mergeCell ref="B29:B32"/>
    <mergeCell ref="C29:C30"/>
    <mergeCell ref="D29:D30"/>
    <mergeCell ref="E29:E30"/>
    <mergeCell ref="F29:F30"/>
    <mergeCell ref="B35:B36"/>
    <mergeCell ref="C35:C36"/>
    <mergeCell ref="D35:E35"/>
    <mergeCell ref="B39:B40"/>
    <mergeCell ref="C39:C40"/>
    <mergeCell ref="D39:D40"/>
    <mergeCell ref="E39:E40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납세현황_24년 3분기</vt:lpstr>
      <vt:lpstr>특별징수</vt:lpstr>
      <vt:lpstr>주민세(사업소분,22년)</vt:lpstr>
      <vt:lpstr>재산세(22년)</vt:lpstr>
      <vt:lpstr>종합부동산세(22)</vt:lpstr>
      <vt:lpstr>특별징수!Print_Area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2025-02-25T06:09:44Z</dcterms:modified>
</cp:coreProperties>
</file>